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ertas\20250505 - Jiloca\"/>
    </mc:Choice>
  </mc:AlternateContent>
  <xr:revisionPtr revIDLastSave="0" documentId="13_ncr:1_{0E44F6A5-5AAA-4650-BBF8-6C80979085CE}" xr6:coauthVersionLast="47" xr6:coauthVersionMax="47" xr10:uidLastSave="{00000000-0000-0000-0000-000000000000}"/>
  <bookViews>
    <workbookView xWindow="-110" yWindow="-110" windowWidth="38620" windowHeight="21100" activeTab="1" xr2:uid="{481A8178-05CF-44E4-A762-A144968E2DFE}"/>
  </bookViews>
  <sheets>
    <sheet name="BBM - NNTTs" sheetId="3" r:id="rId1"/>
    <sheet name="Plantilla de Validacion " sheetId="1" r:id="rId2"/>
    <sheet name="SBA" sheetId="4" r:id="rId3"/>
    <sheet name="Perfile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3" l="1"/>
  <c r="Q51" i="3"/>
  <c r="I33" i="3"/>
  <c r="K31" i="3"/>
  <c r="Q38" i="3"/>
  <c r="H20" i="3"/>
  <c r="H19" i="3"/>
  <c r="H13" i="3"/>
  <c r="I13" i="3"/>
  <c r="J13" i="3" s="1"/>
  <c r="J19" i="3"/>
  <c r="J25" i="3"/>
  <c r="H23" i="3"/>
  <c r="H22" i="3"/>
  <c r="L18" i="3"/>
  <c r="L11" i="3"/>
  <c r="C17" i="1"/>
  <c r="M24" i="3"/>
  <c r="L24" i="3"/>
  <c r="C26" i="1"/>
  <c r="H10" i="3"/>
  <c r="H9" i="3"/>
  <c r="H14" i="3"/>
  <c r="H15" i="3"/>
  <c r="H16" i="3"/>
  <c r="H17" i="3"/>
  <c r="H12" i="3"/>
  <c r="N26" i="3"/>
  <c r="O26" i="3"/>
  <c r="P26" i="3"/>
  <c r="M26" i="3"/>
  <c r="N24" i="3"/>
  <c r="O24" i="3"/>
  <c r="P24" i="3"/>
  <c r="N21" i="3"/>
  <c r="O21" i="3"/>
  <c r="P21" i="3"/>
  <c r="M21" i="3"/>
  <c r="N18" i="3"/>
  <c r="O18" i="3"/>
  <c r="P18" i="3"/>
  <c r="M18" i="3"/>
  <c r="N11" i="3"/>
  <c r="O11" i="3"/>
  <c r="P11" i="3"/>
  <c r="M11" i="3"/>
  <c r="M8" i="3"/>
  <c r="N8" i="3"/>
  <c r="O8" i="3"/>
  <c r="P8" i="3"/>
  <c r="L8" i="3"/>
  <c r="M3" i="3"/>
  <c r="N3" i="3"/>
  <c r="O3" i="3"/>
  <c r="P3" i="3"/>
  <c r="L3" i="3"/>
  <c r="I23" i="3"/>
  <c r="J23" i="3" s="1"/>
  <c r="I22" i="3"/>
  <c r="J22" i="3" s="1"/>
  <c r="I14" i="3"/>
  <c r="J14" i="3" s="1"/>
  <c r="I15" i="3"/>
  <c r="J15" i="3" s="1"/>
  <c r="I16" i="3"/>
  <c r="J16" i="3" s="1"/>
  <c r="I17" i="3"/>
  <c r="J17" i="3" s="1"/>
  <c r="I12" i="3"/>
  <c r="K12" i="3" s="1"/>
  <c r="I10" i="3"/>
  <c r="J10" i="3" s="1"/>
  <c r="I9" i="3"/>
  <c r="K9" i="3" s="1"/>
  <c r="J26" i="3"/>
  <c r="K26" i="3"/>
  <c r="K24" i="3"/>
  <c r="I3" i="3"/>
  <c r="I26" i="3"/>
  <c r="I24" i="3"/>
  <c r="J24" i="3" s="1"/>
  <c r="I20" i="3"/>
  <c r="J20" i="3" s="1"/>
  <c r="I19" i="3"/>
  <c r="K19" i="3" s="1"/>
  <c r="J9" i="1"/>
  <c r="I9" i="1"/>
  <c r="J21" i="3" l="1"/>
  <c r="K17" i="3"/>
  <c r="K20" i="3"/>
  <c r="K14" i="3"/>
  <c r="K13" i="3"/>
  <c r="J9" i="3"/>
  <c r="K23" i="3"/>
  <c r="K22" i="3"/>
  <c r="K15" i="3"/>
  <c r="J12" i="3"/>
  <c r="J11" i="3" s="1"/>
  <c r="J8" i="3"/>
  <c r="J18" i="3"/>
  <c r="K16" i="3"/>
  <c r="K10" i="3"/>
  <c r="K8" i="3" s="1"/>
  <c r="Q36" i="3"/>
  <c r="C24" i="1" s="1"/>
  <c r="I18" i="3"/>
  <c r="C25" i="1"/>
  <c r="I21" i="3"/>
  <c r="I8" i="3"/>
  <c r="I11" i="3"/>
  <c r="K21" i="3" l="1"/>
  <c r="K18" i="3"/>
  <c r="K11" i="3"/>
  <c r="J31" i="3"/>
  <c r="K38" i="3" l="1"/>
  <c r="P32" i="3" l="1"/>
  <c r="N32" i="3"/>
  <c r="M32" i="3"/>
  <c r="L26" i="3"/>
  <c r="L31" i="3" s="1"/>
  <c r="J3" i="3"/>
  <c r="K3" i="3"/>
  <c r="O7" i="5"/>
  <c r="J7" i="5"/>
  <c r="K7" i="5"/>
  <c r="L7" i="5"/>
  <c r="M7" i="5"/>
  <c r="N7" i="5"/>
  <c r="I7" i="5"/>
  <c r="C18" i="1"/>
  <c r="D18" i="1" s="1"/>
  <c r="E18" i="1" s="1"/>
  <c r="G18" i="1" s="1"/>
  <c r="I18" i="1" s="1"/>
  <c r="C19" i="1"/>
  <c r="D19" i="1" s="1"/>
  <c r="E19" i="1" s="1"/>
  <c r="G19" i="1" s="1"/>
  <c r="I19" i="1" s="1"/>
  <c r="D17" i="1"/>
  <c r="B16" i="1"/>
  <c r="C16" i="1" s="1"/>
  <c r="D16" i="1" s="1"/>
  <c r="E16" i="1" s="1"/>
  <c r="B15" i="1"/>
  <c r="C15" i="1" s="1"/>
  <c r="D15" i="1" s="1"/>
  <c r="E15" i="1" s="1"/>
  <c r="B14" i="1"/>
  <c r="C14" i="1" s="1"/>
  <c r="D14" i="1" s="1"/>
  <c r="E14" i="1" s="1"/>
  <c r="D21" i="4"/>
  <c r="D24" i="4"/>
  <c r="D3" i="4"/>
  <c r="D4" i="4"/>
  <c r="D6" i="4"/>
  <c r="D7" i="4"/>
  <c r="D8" i="4"/>
  <c r="D9" i="4"/>
  <c r="D11" i="4"/>
  <c r="D12" i="4"/>
  <c r="D13" i="4"/>
  <c r="D14" i="4"/>
  <c r="D15" i="4"/>
  <c r="D17" i="4"/>
  <c r="D18" i="4"/>
  <c r="D19" i="4"/>
  <c r="D22" i="4"/>
  <c r="D23" i="4"/>
  <c r="D26" i="4"/>
  <c r="D2" i="4"/>
  <c r="H20" i="1"/>
  <c r="G17" i="1" l="1"/>
  <c r="I17" i="1" s="1"/>
  <c r="E17" i="1"/>
  <c r="M31" i="3"/>
  <c r="F15" i="1" s="1"/>
  <c r="G15" i="1" s="1"/>
  <c r="I15" i="1" s="1"/>
  <c r="P31" i="3"/>
  <c r="O31" i="3"/>
  <c r="O33" i="3" s="1"/>
  <c r="N31" i="3"/>
  <c r="F16" i="1"/>
  <c r="G16" i="1" s="1"/>
  <c r="I16" i="1" s="1"/>
  <c r="K33" i="3"/>
  <c r="J33" i="3"/>
  <c r="K37" i="3" s="1"/>
  <c r="K39" i="3" s="1"/>
  <c r="C23" i="1" s="1"/>
  <c r="N33" i="3"/>
  <c r="P33" i="3"/>
  <c r="L33" i="3" l="1"/>
  <c r="F14" i="1"/>
  <c r="P48" i="3"/>
  <c r="M33" i="3"/>
  <c r="Q34" i="3" l="1"/>
  <c r="F20" i="1"/>
  <c r="G14" i="1"/>
  <c r="I14" i="1" s="1"/>
  <c r="Q48" i="3"/>
  <c r="Q49" i="3"/>
  <c r="I20" i="1" l="1"/>
  <c r="Q33" i="3" l="1"/>
  <c r="Q43" i="3" l="1"/>
  <c r="Q44" i="3" s="1"/>
  <c r="C28" i="1"/>
  <c r="F32" i="1" l="1"/>
  <c r="F29" i="1"/>
  <c r="D31" i="1" s="1"/>
  <c r="B31" i="1" l="1"/>
  <c r="B32" i="1" s="1"/>
  <c r="D32" i="1"/>
</calcChain>
</file>

<file path=xl/sharedStrings.xml><?xml version="1.0" encoding="utf-8"?>
<sst xmlns="http://schemas.openxmlformats.org/spreadsheetml/2006/main" count="210" uniqueCount="182">
  <si>
    <t>ID Proyecto:</t>
  </si>
  <si>
    <t>xx/xxx/23</t>
  </si>
  <si>
    <t>Fecha inicio:</t>
  </si>
  <si>
    <t>Importe:</t>
  </si>
  <si>
    <t>Fecha fin:</t>
  </si>
  <si>
    <t>Plazo garantía:</t>
  </si>
  <si>
    <t>Cliente</t>
  </si>
  <si>
    <t>Objeto:</t>
  </si>
  <si>
    <t>A) Plan de facturacion</t>
  </si>
  <si>
    <t>Fecha Factura</t>
  </si>
  <si>
    <t>Importe</t>
  </si>
  <si>
    <t>B) Costes</t>
  </si>
  <si>
    <t>b-1.Personal</t>
  </si>
  <si>
    <t>Recurso</t>
  </si>
  <si>
    <t>SBA</t>
  </si>
  <si>
    <t>SS</t>
  </si>
  <si>
    <t>Coste salarial</t>
  </si>
  <si>
    <t>Tarifa hora</t>
  </si>
  <si>
    <t>Horas</t>
  </si>
  <si>
    <t>Coste imp.</t>
  </si>
  <si>
    <t>Dietas</t>
  </si>
  <si>
    <t>Coste imp.total</t>
  </si>
  <si>
    <t>b-2.Costes directos</t>
  </si>
  <si>
    <t>Concepto</t>
  </si>
  <si>
    <t>Proveedor</t>
  </si>
  <si>
    <t>% MB estimado</t>
  </si>
  <si>
    <t>Coste total</t>
  </si>
  <si>
    <t>C) Márgenes</t>
  </si>
  <si>
    <t>Margen bruto</t>
  </si>
  <si>
    <t>Margen neto</t>
  </si>
  <si>
    <t>% margen bruto</t>
  </si>
  <si>
    <t>% margen neto</t>
  </si>
  <si>
    <t xml:space="preserve">Tarifa estimada </t>
  </si>
  <si>
    <t>Si margen neto&gt; 5%</t>
  </si>
  <si>
    <t>OK</t>
  </si>
  <si>
    <t>Salvo suministros  &gt; 10%</t>
  </si>
  <si>
    <t>Si margen neto&lt; 5%</t>
  </si>
  <si>
    <t>Comité de Operaciones</t>
  </si>
  <si>
    <t>Importe &gt; 500k</t>
  </si>
  <si>
    <t>En UTE</t>
  </si>
  <si>
    <t>CRM</t>
  </si>
  <si>
    <t>Plan de trabajo</t>
  </si>
  <si>
    <t xml:space="preserve">Web </t>
  </si>
  <si>
    <t>Oficina Virtual</t>
  </si>
  <si>
    <t>Analista Técnico</t>
  </si>
  <si>
    <t>Programador Junior</t>
  </si>
  <si>
    <t>Gestión, Analisis y Diseño</t>
  </si>
  <si>
    <t>Reuniones y actas</t>
  </si>
  <si>
    <t>Gestión</t>
  </si>
  <si>
    <t>Requisitos, Análisis funcional y Mapa Web</t>
  </si>
  <si>
    <t>Benchmarking + Diseño de interfaces + Guia estilo + Accesibilidad + Usab. y UX</t>
  </si>
  <si>
    <t>Redactar juegos</t>
  </si>
  <si>
    <t>Traducir Contenidos</t>
  </si>
  <si>
    <t>Registrar derechos SGAE</t>
  </si>
  <si>
    <t>TOTAL COSTE</t>
  </si>
  <si>
    <t>TOTAL PVP</t>
  </si>
  <si>
    <t>Unidades</t>
  </si>
  <si>
    <t>Direccion Inmersivos</t>
  </si>
  <si>
    <t>Diseñador y Maquetador inmersivos</t>
  </si>
  <si>
    <t>Trabajo de Campo</t>
  </si>
  <si>
    <t>Creativo Multimedia</t>
  </si>
  <si>
    <t>Incluido en el Hosting General</t>
  </si>
  <si>
    <t>Viajes 3 meses x 2,000 €</t>
  </si>
  <si>
    <t>Coste</t>
  </si>
  <si>
    <t>Bilbomatica</t>
  </si>
  <si>
    <t>Subcontratacion BM</t>
  </si>
  <si>
    <t>Viajes BM</t>
  </si>
  <si>
    <t>Total</t>
  </si>
  <si>
    <t>Puesta en valor del Patrimonio Cultural de la Zona Media de Navarra</t>
  </si>
  <si>
    <t>Coste Unitario</t>
  </si>
  <si>
    <t>% Bajada</t>
  </si>
  <si>
    <t>Coste Final</t>
  </si>
  <si>
    <t>Coste Unitario Bajada</t>
  </si>
  <si>
    <t>Viajes</t>
  </si>
  <si>
    <t>BBM-NNTTs - RP - Yolanda Sampayo</t>
  </si>
  <si>
    <t>BBM-NNTTs - RP - Pako Navas</t>
  </si>
  <si>
    <t>Programador C</t>
  </si>
  <si>
    <t>Programador B</t>
  </si>
  <si>
    <t>Programador A</t>
  </si>
  <si>
    <t>Programador Senior</t>
  </si>
  <si>
    <t>Programador D</t>
  </si>
  <si>
    <t>AT. E</t>
  </si>
  <si>
    <t>AT. D</t>
  </si>
  <si>
    <t>AT. C</t>
  </si>
  <si>
    <t>AT. B</t>
  </si>
  <si>
    <t>AT. A</t>
  </si>
  <si>
    <t>Analista Funcional</t>
  </si>
  <si>
    <t>AF. C</t>
  </si>
  <si>
    <t>AF. B</t>
  </si>
  <si>
    <t>AF. A</t>
  </si>
  <si>
    <t>Responsable Proyectos</t>
  </si>
  <si>
    <t>RP. C</t>
  </si>
  <si>
    <t>RP. B</t>
  </si>
  <si>
    <t>RP. A</t>
  </si>
  <si>
    <t>Diseñador Gráfico</t>
  </si>
  <si>
    <t>DG. A</t>
  </si>
  <si>
    <t xml:space="preserve">GP </t>
  </si>
  <si>
    <t>Responsable Proyectos (Yolanda)</t>
  </si>
  <si>
    <t>Gestor de Proyecto (Pako)</t>
  </si>
  <si>
    <t>Desarrollo de la experiencia virtual</t>
  </si>
  <si>
    <t>Contenido Promocional</t>
  </si>
  <si>
    <t>Adaptación tecnológica y continuidad de funcionamiento.</t>
  </si>
  <si>
    <t>Documentación</t>
  </si>
  <si>
    <t>Documentación técnica completa en PDF y editable (manuales, fichas técnicas, licencias, vídeos, etc.).</t>
  </si>
  <si>
    <t>Transferencia tecnológica para garantizar la comprensión del funcionamiento interno de la solución.</t>
  </si>
  <si>
    <t>Nº</t>
  </si>
  <si>
    <t>Perfil Profesional</t>
  </si>
  <si>
    <t>Formación / Experiencia Requerida</t>
  </si>
  <si>
    <t>Dedicación mínima al proyecto</t>
  </si>
  <si>
    <t>1.</t>
  </si>
  <si>
    <t>Director/a de Proyecto</t>
  </si>
  <si>
    <t>No se especifica formación, pero sí funciones de dirección y seguimiento</t>
  </si>
  <si>
    <t>400 horas</t>
  </si>
  <si>
    <t>2.</t>
  </si>
  <si>
    <t>Formación en historia o arqueología. Especialista en el patrimonio del Castillo Sohail</t>
  </si>
  <si>
    <t>274 horas</t>
  </si>
  <si>
    <t>3.</t>
  </si>
  <si>
    <t>Diseñador/a gráfico con conocimientos en modelado 3D y animación</t>
  </si>
  <si>
    <t>Formación técnica relacionada (por ejemplo, Técnico Superior en Animaciones 3D)</t>
  </si>
  <si>
    <t>80 horas</t>
  </si>
  <si>
    <t>4.</t>
  </si>
  <si>
    <t>Programador/a multiplataforma especializado en RV (Realidad Virtual)</t>
  </si>
  <si>
    <t>Titulación mínima: Técnico Superior en Desarrollo de Aplicaciones Multiplataforma. Experiencia ≥ 2 años</t>
  </si>
  <si>
    <t>350 horas</t>
  </si>
  <si>
    <t>5.</t>
  </si>
  <si>
    <t>Ingeniero/a Informático/a</t>
  </si>
  <si>
    <t>Titulación universitaria + experiencia ≥ 5 años en programación y testeo</t>
  </si>
  <si>
    <t>266 horas</t>
  </si>
  <si>
    <t>6.</t>
  </si>
  <si>
    <t>Arquitecto/a</t>
  </si>
  <si>
    <t>Grado o máster habilitante en Arquitectura + experiencia en diseño de escenarios 3D</t>
  </si>
  <si>
    <t>430 horas</t>
  </si>
  <si>
    <t>BBM-NNTTs - AT - Alain Villacorta</t>
  </si>
  <si>
    <t>Tarea</t>
  </si>
  <si>
    <t>Diseñador/a gráfico 3D</t>
  </si>
  <si>
    <t>Programador/a RV</t>
  </si>
  <si>
    <t>Ingeniero/a Informático</t>
  </si>
  <si>
    <t>175 h</t>
  </si>
  <si>
    <t>Mantenimiento</t>
  </si>
  <si>
    <t xml:space="preserve"> istoriador/a o Arqueólogo/a</t>
  </si>
  <si>
    <t xml:space="preserve">41.1  </t>
  </si>
  <si>
    <t xml:space="preserve">52.5  </t>
  </si>
  <si>
    <t xml:space="preserve">39.9  </t>
  </si>
  <si>
    <t xml:space="preserve">64.5  </t>
  </si>
  <si>
    <t xml:space="preserve">54.8  </t>
  </si>
  <si>
    <t xml:space="preserve">53.2  </t>
  </si>
  <si>
    <t>Total Horas</t>
  </si>
  <si>
    <t>Historiador/a 
o Arqueólogo/a</t>
  </si>
  <si>
    <t>Consultor Inmersivos</t>
  </si>
  <si>
    <t>Altia Bilbomatica</t>
  </si>
  <si>
    <t>SoulBilbao CM</t>
  </si>
  <si>
    <t>Externos SoulBilbao</t>
  </si>
  <si>
    <t>SoulBilbao</t>
  </si>
  <si>
    <t>Emovere</t>
  </si>
  <si>
    <t>Visitas Virtuales</t>
  </si>
  <si>
    <t>Lotes de visitas virtuales</t>
  </si>
  <si>
    <t>Visualizador de las visitas virtuales</t>
  </si>
  <si>
    <t>Web aplicaciones</t>
  </si>
  <si>
    <t>Renderizado de las reconstrucciones</t>
  </si>
  <si>
    <t>Escenas cinematograficas</t>
  </si>
  <si>
    <t>Visualizador de las reconstrucciones virtuales (Web apps)</t>
  </si>
  <si>
    <t>Gamificación - Yincanas para públicos infantil y familiar</t>
  </si>
  <si>
    <t>Gafas de Realidad Virtual</t>
  </si>
  <si>
    <t>Hardware y soportes</t>
  </si>
  <si>
    <t>Centro de Interpretación</t>
  </si>
  <si>
    <t>Conceptualización y modelizado</t>
  </si>
  <si>
    <t>Entorno Virtual centralizado con Avatar</t>
  </si>
  <si>
    <t>Mantenimiento (5 años)</t>
  </si>
  <si>
    <t>Duración</t>
  </si>
  <si>
    <t>Hosting: 5 años</t>
  </si>
  <si>
    <t>Hardware y soortes</t>
  </si>
  <si>
    <t>Hosting</t>
  </si>
  <si>
    <t>Plan de formación (mínimo 10 horas) al personal técnico del Ayuntamiento.</t>
  </si>
  <si>
    <t>Empresa</t>
  </si>
  <si>
    <t>Nombre</t>
  </si>
  <si>
    <t>SoulBilbao B</t>
  </si>
  <si>
    <t>TOTAL</t>
  </si>
  <si>
    <t>6 meses y medio</t>
  </si>
  <si>
    <t>Reconstrucciones virtuales históricas + asignacion de materiales</t>
  </si>
  <si>
    <t>Asignacion de materiales e iluminacion</t>
  </si>
  <si>
    <t>Soportes (64 soportes)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</si>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</sst>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/m/yyyy"/>
    <numFmt numFmtId="165" formatCode="_-* #,##0.00\ [$€-C0A]_-;\-* #,##0.00\ [$€-C0A]_-;_-* &quot;-&quot;??\ [$€-C0A]_-;_-@_-"/>
    <numFmt numFmtId="166" formatCode="_-&quot;£&quot;* #,##0.00_-;\-&quot;£&quot;* #,##0.00_-;_-&quot;£&quot;* &quot;-&quot;??_-;_-@"/>
    <numFmt numFmtId="167" formatCode="_-* #,##0.00\ &quot;€&quot;_-;\-* #,##0.00\ &quot;€&quot;_-;_-* &quot;-&quot;??\ &quot;€&quot;_-;_-@"/>
    <numFmt numFmtId="168" formatCode="0.0%"/>
    <numFmt numFmtId="169" formatCode="_-* #,##0.00\ [$€-1]_-;\-* #,##0.00\ [$€-1]_-;_-* &quot;-&quot;??\ [$€-1]"/>
    <numFmt numFmtId="170" formatCode="_-* #,##0\ _€_-;\-* #,##0\ _€_-;_-* &quot;-&quot;??\ _€_-;_-@"/>
    <numFmt numFmtId="171" formatCode="#,##0_ ;\-#,##0\ "/>
    <numFmt numFmtId="172" formatCode="_-* #,##0.00\ _€_-;\-* #,##0.00\ _€_-;_-* &quot;-&quot;??\ _€_-;_-@_-"/>
    <numFmt numFmtId="175" formatCode="_-* #,##0_-;\-* #,##0_-;_-* &quot;-&quot;??_-;_-@_-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u/>
      <sz val="10"/>
      <color theme="1"/>
      <name val="Trebuchet MS"/>
      <family val="2"/>
    </font>
    <font>
      <sz val="9"/>
      <color theme="0"/>
      <name val="Trebuchet MS"/>
      <family val="2"/>
    </font>
    <font>
      <sz val="9"/>
      <color rgb="FF7F7F7F"/>
      <name val="Trebuchet MS"/>
      <family val="2"/>
    </font>
    <font>
      <i/>
      <sz val="10"/>
      <color theme="1"/>
      <name val="Trebuchet MS"/>
      <family val="2"/>
    </font>
    <font>
      <sz val="8"/>
      <color theme="1"/>
      <name val="Trebuchet MS"/>
      <family val="2"/>
    </font>
    <font>
      <b/>
      <sz val="9"/>
      <color rgb="FFFF0000"/>
      <name val="Trebuchet MS"/>
      <family val="2"/>
    </font>
    <font>
      <i/>
      <sz val="9"/>
      <color theme="1"/>
      <name val="Trebuchet MS"/>
      <family val="2"/>
    </font>
    <font>
      <b/>
      <sz val="10"/>
      <color rgb="FFFF0000"/>
      <name val="Trebuchet MS"/>
      <family val="2"/>
    </font>
    <font>
      <sz val="11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9"/>
      <color rgb="FFC00000"/>
      <name val="Trebuchet MS"/>
      <family val="2"/>
    </font>
    <font>
      <b/>
      <sz val="14"/>
      <color rgb="FFC00000"/>
      <name val="Trebuchet MS"/>
      <family val="2"/>
    </font>
    <font>
      <b/>
      <sz val="11"/>
      <color rgb="FFC00000"/>
      <name val="Trebuchet MS"/>
      <family val="2"/>
    </font>
    <font>
      <i/>
      <sz val="9"/>
      <color rgb="FFC00000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FF0000"/>
      <name val="Trebuchet MS"/>
      <family val="2"/>
    </font>
    <font>
      <b/>
      <sz val="11"/>
      <color theme="0"/>
      <name val="Calibri"/>
      <family val="2"/>
      <scheme val="minor"/>
    </font>
    <font>
      <sz val="11"/>
      <color rgb="FF313F4B"/>
      <name val="Arial"/>
      <family val="2"/>
    </font>
    <font>
      <b/>
      <sz val="11"/>
      <color rgb="FF313F4B"/>
      <name val="Arial"/>
      <family val="2"/>
    </font>
    <font>
      <b/>
      <sz val="11"/>
      <color rgb="FFEE0000"/>
      <name val="Arial"/>
      <family val="2"/>
    </font>
    <font>
      <sz val="11"/>
      <color rgb="FFEE0000"/>
      <name val="Arial"/>
      <family val="2"/>
    </font>
    <font>
      <b/>
      <sz val="9"/>
      <color rgb="FF7F7F7F"/>
      <name val="Trebuchet MS"/>
      <family val="2"/>
    </font>
    <font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222A35"/>
        <bgColor rgb="FF222A35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rgb="FFD6DCE4"/>
      </patternFill>
    </fill>
    <fill>
      <patternFill patternType="solid">
        <fgColor rgb="FF07376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D45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3" fillId="0" borderId="0"/>
    <xf numFmtId="0" fontId="30" fillId="16" borderId="31" applyNumberFormat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2" borderId="1" xfId="0" applyFont="1" applyFill="1" applyBorder="1"/>
    <xf numFmtId="0" fontId="8" fillId="0" borderId="0" xfId="0" applyFont="1"/>
    <xf numFmtId="164" fontId="8" fillId="2" borderId="1" xfId="0" applyNumberFormat="1" applyFont="1" applyFill="1" applyBorder="1"/>
    <xf numFmtId="164" fontId="8" fillId="0" borderId="0" xfId="0" applyNumberFormat="1" applyFont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9" fillId="0" borderId="0" xfId="0" applyFont="1"/>
    <xf numFmtId="0" fontId="10" fillId="3" borderId="6" xfId="0" applyFont="1" applyFill="1" applyBorder="1" applyAlignment="1">
      <alignment horizontal="center"/>
    </xf>
    <xf numFmtId="0" fontId="8" fillId="2" borderId="7" xfId="0" applyFont="1" applyFill="1" applyBorder="1"/>
    <xf numFmtId="164" fontId="8" fillId="2" borderId="8" xfId="0" applyNumberFormat="1" applyFont="1" applyFill="1" applyBorder="1"/>
    <xf numFmtId="0" fontId="10" fillId="3" borderId="9" xfId="0" applyFont="1" applyFill="1" applyBorder="1" applyAlignment="1">
      <alignment horizontal="center"/>
    </xf>
    <xf numFmtId="166" fontId="8" fillId="2" borderId="10" xfId="0" applyNumberFormat="1" applyFont="1" applyFill="1" applyBorder="1"/>
    <xf numFmtId="165" fontId="8" fillId="2" borderId="11" xfId="0" applyNumberFormat="1" applyFont="1" applyFill="1" applyBorder="1"/>
    <xf numFmtId="167" fontId="8" fillId="4" borderId="0" xfId="0" applyNumberFormat="1" applyFont="1" applyFill="1"/>
    <xf numFmtId="166" fontId="11" fillId="0" borderId="0" xfId="0" applyNumberFormat="1" applyFont="1"/>
    <xf numFmtId="166" fontId="8" fillId="0" borderId="0" xfId="0" applyNumberFormat="1" applyFont="1"/>
    <xf numFmtId="168" fontId="8" fillId="0" borderId="0" xfId="0" applyNumberFormat="1" applyFont="1"/>
    <xf numFmtId="0" fontId="12" fillId="0" borderId="0" xfId="0" applyFont="1"/>
    <xf numFmtId="0" fontId="10" fillId="3" borderId="12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8" fillId="2" borderId="13" xfId="0" applyFont="1" applyFill="1" applyBorder="1"/>
    <xf numFmtId="165" fontId="8" fillId="2" borderId="14" xfId="0" applyNumberFormat="1" applyFont="1" applyFill="1" applyBorder="1"/>
    <xf numFmtId="169" fontId="13" fillId="0" borderId="14" xfId="0" applyNumberFormat="1" applyFont="1" applyBorder="1" applyAlignment="1">
      <alignment horizontal="center"/>
    </xf>
    <xf numFmtId="165" fontId="8" fillId="0" borderId="14" xfId="0" applyNumberFormat="1" applyFont="1" applyBorder="1"/>
    <xf numFmtId="0" fontId="14" fillId="0" borderId="0" xfId="0" applyFont="1"/>
    <xf numFmtId="169" fontId="15" fillId="0" borderId="0" xfId="0" applyNumberFormat="1" applyFont="1" applyAlignment="1">
      <alignment horizontal="center"/>
    </xf>
    <xf numFmtId="0" fontId="15" fillId="0" borderId="0" xfId="0" applyFont="1"/>
    <xf numFmtId="167" fontId="8" fillId="0" borderId="0" xfId="0" applyNumberFormat="1" applyFont="1"/>
    <xf numFmtId="0" fontId="10" fillId="3" borderId="8" xfId="0" applyFont="1" applyFill="1" applyBorder="1" applyAlignment="1">
      <alignment horizontal="center"/>
    </xf>
    <xf numFmtId="0" fontId="8" fillId="2" borderId="15" xfId="0" applyFont="1" applyFill="1" applyBorder="1"/>
    <xf numFmtId="0" fontId="8" fillId="2" borderId="10" xfId="0" applyFont="1" applyFill="1" applyBorder="1"/>
    <xf numFmtId="165" fontId="8" fillId="2" borderId="10" xfId="0" applyNumberFormat="1" applyFont="1" applyFill="1" applyBorder="1"/>
    <xf numFmtId="166" fontId="8" fillId="2" borderId="11" xfId="0" applyNumberFormat="1" applyFont="1" applyFill="1" applyBorder="1"/>
    <xf numFmtId="0" fontId="6" fillId="0" borderId="3" xfId="0" applyFont="1" applyBorder="1"/>
    <xf numFmtId="167" fontId="8" fillId="4" borderId="5" xfId="0" applyNumberFormat="1" applyFont="1" applyFill="1" applyBorder="1"/>
    <xf numFmtId="0" fontId="6" fillId="0" borderId="6" xfId="0" applyFont="1" applyBorder="1"/>
    <xf numFmtId="167" fontId="6" fillId="5" borderId="16" xfId="0" applyNumberFormat="1" applyFont="1" applyFill="1" applyBorder="1"/>
    <xf numFmtId="0" fontId="6" fillId="0" borderId="6" xfId="0" applyFont="1" applyBorder="1" applyAlignment="1">
      <alignment horizontal="right"/>
    </xf>
    <xf numFmtId="167" fontId="6" fillId="6" borderId="16" xfId="0" applyNumberFormat="1" applyFont="1" applyFill="1" applyBorder="1"/>
    <xf numFmtId="0" fontId="16" fillId="0" borderId="0" xfId="0" applyFont="1"/>
    <xf numFmtId="0" fontId="6" fillId="0" borderId="9" xfId="0" applyFont="1" applyBorder="1"/>
    <xf numFmtId="10" fontId="6" fillId="5" borderId="17" xfId="0" applyNumberFormat="1" applyFont="1" applyFill="1" applyBorder="1"/>
    <xf numFmtId="0" fontId="6" fillId="0" borderId="9" xfId="0" applyFont="1" applyBorder="1" applyAlignment="1">
      <alignment horizontal="right"/>
    </xf>
    <xf numFmtId="10" fontId="6" fillId="6" borderId="17" xfId="0" applyNumberFormat="1" applyFont="1" applyFill="1" applyBorder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0" fontId="7" fillId="0" borderId="18" xfId="0" applyFont="1" applyBorder="1"/>
    <xf numFmtId="0" fontId="7" fillId="0" borderId="19" xfId="0" applyFont="1" applyBorder="1" applyAlignment="1">
      <alignment horizontal="center"/>
    </xf>
    <xf numFmtId="0" fontId="7" fillId="0" borderId="19" xfId="0" applyFont="1" applyBorder="1"/>
    <xf numFmtId="0" fontId="8" fillId="0" borderId="20" xfId="0" applyFont="1" applyBorder="1"/>
    <xf numFmtId="0" fontId="7" fillId="0" borderId="21" xfId="0" applyFont="1" applyBorder="1"/>
    <xf numFmtId="0" fontId="7" fillId="0" borderId="23" xfId="0" applyFont="1" applyBorder="1"/>
    <xf numFmtId="0" fontId="7" fillId="0" borderId="25" xfId="0" applyFont="1" applyBorder="1"/>
    <xf numFmtId="171" fontId="15" fillId="0" borderId="0" xfId="0" applyNumberFormat="1" applyFont="1"/>
    <xf numFmtId="0" fontId="19" fillId="0" borderId="0" xfId="1"/>
    <xf numFmtId="165" fontId="8" fillId="7" borderId="2" xfId="0" applyNumberFormat="1" applyFont="1" applyFill="1" applyBorder="1"/>
    <xf numFmtId="0" fontId="7" fillId="2" borderId="7" xfId="0" applyFont="1" applyFill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165" fontId="8" fillId="0" borderId="0" xfId="0" applyNumberFormat="1" applyFont="1"/>
    <xf numFmtId="0" fontId="21" fillId="0" borderId="0" xfId="0" applyFont="1"/>
    <xf numFmtId="22" fontId="22" fillId="0" borderId="0" xfId="0" applyNumberFormat="1" applyFont="1"/>
    <xf numFmtId="166" fontId="8" fillId="0" borderId="18" xfId="0" applyNumberFormat="1" applyFont="1" applyBorder="1"/>
    <xf numFmtId="170" fontId="8" fillId="2" borderId="28" xfId="0" applyNumberFormat="1" applyFont="1" applyFill="1" applyBorder="1"/>
    <xf numFmtId="171" fontId="8" fillId="4" borderId="27" xfId="0" applyNumberFormat="1" applyFont="1" applyFill="1" applyBorder="1"/>
    <xf numFmtId="0" fontId="20" fillId="0" borderId="0" xfId="0" applyFont="1"/>
    <xf numFmtId="0" fontId="23" fillId="0" borderId="0" xfId="0" applyFont="1"/>
    <xf numFmtId="0" fontId="5" fillId="0" borderId="0" xfId="0" applyFont="1"/>
    <xf numFmtId="165" fontId="8" fillId="4" borderId="27" xfId="0" applyNumberFormat="1" applyFont="1" applyFill="1" applyBorder="1"/>
    <xf numFmtId="0" fontId="25" fillId="0" borderId="0" xfId="0" applyFont="1" applyAlignment="1">
      <alignment wrapText="1"/>
    </xf>
    <xf numFmtId="0" fontId="25" fillId="8" borderId="0" xfId="0" applyFont="1" applyFill="1" applyAlignment="1">
      <alignment vertical="center" wrapText="1"/>
    </xf>
    <xf numFmtId="0" fontId="26" fillId="8" borderId="0" xfId="0" applyFont="1" applyFill="1" applyAlignment="1">
      <alignment vertical="center" wrapText="1"/>
    </xf>
    <xf numFmtId="0" fontId="26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 wrapText="1"/>
    </xf>
    <xf numFmtId="0" fontId="25" fillId="0" borderId="27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right"/>
    </xf>
    <xf numFmtId="0" fontId="28" fillId="0" borderId="29" xfId="0" applyFont="1" applyBorder="1"/>
    <xf numFmtId="0" fontId="24" fillId="0" borderId="30" xfId="0" applyFont="1" applyBorder="1"/>
    <xf numFmtId="0" fontId="28" fillId="13" borderId="29" xfId="0" applyFont="1" applyFill="1" applyBorder="1"/>
    <xf numFmtId="0" fontId="24" fillId="13" borderId="30" xfId="0" applyFont="1" applyFill="1" applyBorder="1"/>
    <xf numFmtId="0" fontId="26" fillId="14" borderId="0" xfId="0" applyFont="1" applyFill="1"/>
    <xf numFmtId="0" fontId="26" fillId="14" borderId="0" xfId="0" applyFont="1" applyFill="1" applyAlignment="1">
      <alignment wrapText="1"/>
    </xf>
    <xf numFmtId="0" fontId="0" fillId="0" borderId="0" xfId="0" applyAlignment="1">
      <alignment wrapText="1"/>
    </xf>
    <xf numFmtId="0" fontId="24" fillId="0" borderId="0" xfId="0" applyFont="1"/>
    <xf numFmtId="44" fontId="26" fillId="8" borderId="0" xfId="2" applyFont="1" applyFill="1" applyAlignment="1">
      <alignment horizontal="center" vertical="center"/>
    </xf>
    <xf numFmtId="0" fontId="0" fillId="0" borderId="27" xfId="0" applyBorder="1"/>
    <xf numFmtId="44" fontId="0" fillId="0" borderId="27" xfId="2" applyFont="1" applyBorder="1"/>
    <xf numFmtId="165" fontId="23" fillId="0" borderId="0" xfId="0" applyNumberFormat="1" applyFont="1"/>
    <xf numFmtId="0" fontId="29" fillId="0" borderId="0" xfId="0" applyFont="1"/>
    <xf numFmtId="165" fontId="29" fillId="0" borderId="0" xfId="0" applyNumberFormat="1" applyFont="1"/>
    <xf numFmtId="172" fontId="8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44" fontId="0" fillId="0" borderId="0" xfId="2" applyFont="1" applyBorder="1"/>
    <xf numFmtId="0" fontId="24" fillId="0" borderId="0" xfId="0" applyFont="1" applyAlignment="1">
      <alignment wrapText="1"/>
    </xf>
    <xf numFmtId="3" fontId="0" fillId="0" borderId="0" xfId="0" applyNumberFormat="1"/>
    <xf numFmtId="0" fontId="28" fillId="10" borderId="27" xfId="0" applyFont="1" applyFill="1" applyBorder="1" applyAlignment="1">
      <alignment vertical="center" wrapText="1"/>
    </xf>
    <xf numFmtId="0" fontId="25" fillId="15" borderId="27" xfId="0" applyFont="1" applyFill="1" applyBorder="1" applyAlignment="1">
      <alignment vertical="center" wrapText="1"/>
    </xf>
    <xf numFmtId="165" fontId="8" fillId="0" borderId="28" xfId="0" applyNumberFormat="1" applyFont="1" applyBorder="1"/>
    <xf numFmtId="166" fontId="8" fillId="0" borderId="27" xfId="0" applyNumberFormat="1" applyFont="1" applyBorder="1"/>
    <xf numFmtId="0" fontId="3" fillId="0" borderId="0" xfId="3"/>
    <xf numFmtId="4" fontId="3" fillId="0" borderId="0" xfId="3" applyNumberFormat="1"/>
    <xf numFmtId="9" fontId="0" fillId="0" borderId="0" xfId="0" applyNumberFormat="1"/>
    <xf numFmtId="0" fontId="3" fillId="15" borderId="0" xfId="3" applyFill="1"/>
    <xf numFmtId="4" fontId="3" fillId="15" borderId="0" xfId="3" applyNumberFormat="1" applyFill="1"/>
    <xf numFmtId="165" fontId="8" fillId="2" borderId="18" xfId="0" applyNumberFormat="1" applyFont="1" applyFill="1" applyBorder="1"/>
    <xf numFmtId="0" fontId="32" fillId="0" borderId="32" xfId="0" applyFont="1" applyBorder="1" applyAlignment="1">
      <alignment horizontal="justify" vertical="center" wrapText="1"/>
    </xf>
    <xf numFmtId="0" fontId="31" fillId="0" borderId="32" xfId="0" applyFont="1" applyBorder="1" applyAlignment="1">
      <alignment horizontal="justify" vertical="center" wrapText="1"/>
    </xf>
    <xf numFmtId="0" fontId="33" fillId="0" borderId="32" xfId="0" applyFont="1" applyBorder="1" applyAlignment="1">
      <alignment horizontal="justify" vertical="center" wrapText="1"/>
    </xf>
    <xf numFmtId="0" fontId="34" fillId="0" borderId="32" xfId="0" applyFont="1" applyBorder="1" applyAlignment="1">
      <alignment horizontal="justify" vertical="center" wrapText="1"/>
    </xf>
    <xf numFmtId="1" fontId="0" fillId="0" borderId="27" xfId="0" applyNumberFormat="1" applyBorder="1" applyAlignment="1">
      <alignment horizontal="right"/>
    </xf>
    <xf numFmtId="0" fontId="2" fillId="0" borderId="27" xfId="0" applyFont="1" applyBorder="1" applyAlignment="1">
      <alignment wrapText="1"/>
    </xf>
    <xf numFmtId="0" fontId="30" fillId="16" borderId="31" xfId="4"/>
    <xf numFmtId="0" fontId="30" fillId="16" borderId="33" xfId="4" applyBorder="1"/>
    <xf numFmtId="0" fontId="26" fillId="17" borderId="0" xfId="0" applyFont="1" applyFill="1" applyAlignment="1">
      <alignment vertical="center" wrapText="1"/>
    </xf>
    <xf numFmtId="169" fontId="13" fillId="0" borderId="20" xfId="0" applyNumberFormat="1" applyFont="1" applyBorder="1" applyAlignment="1">
      <alignment horizontal="center"/>
    </xf>
    <xf numFmtId="0" fontId="8" fillId="2" borderId="34" xfId="0" applyFont="1" applyFill="1" applyBorder="1"/>
    <xf numFmtId="165" fontId="8" fillId="2" borderId="28" xfId="0" applyNumberFormat="1" applyFont="1" applyFill="1" applyBorder="1"/>
    <xf numFmtId="0" fontId="8" fillId="2" borderId="27" xfId="0" applyFont="1" applyFill="1" applyBorder="1"/>
    <xf numFmtId="165" fontId="8" fillId="2" borderId="27" xfId="0" applyNumberFormat="1" applyFont="1" applyFill="1" applyBorder="1"/>
    <xf numFmtId="165" fontId="8" fillId="0" borderId="18" xfId="0" applyNumberFormat="1" applyFont="1" applyBorder="1"/>
    <xf numFmtId="165" fontId="8" fillId="0" borderId="20" xfId="0" applyNumberFormat="1" applyFont="1" applyBorder="1"/>
    <xf numFmtId="170" fontId="8" fillId="2" borderId="27" xfId="0" applyNumberFormat="1" applyFont="1" applyFill="1" applyBorder="1"/>
    <xf numFmtId="0" fontId="14" fillId="0" borderId="22" xfId="0" applyFont="1" applyBorder="1" applyAlignment="1">
      <alignment horizontal="center" vertical="center" wrapText="1"/>
    </xf>
    <xf numFmtId="0" fontId="17" fillId="0" borderId="24" xfId="0" applyFont="1" applyBorder="1"/>
    <xf numFmtId="0" fontId="17" fillId="0" borderId="26" xfId="0" applyFont="1" applyBorder="1"/>
    <xf numFmtId="0" fontId="8" fillId="2" borderId="27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/>
    </xf>
    <xf numFmtId="9" fontId="35" fillId="0" borderId="0" xfId="6" applyFont="1" applyAlignment="1">
      <alignment horizontal="right"/>
    </xf>
    <xf numFmtId="0" fontId="28" fillId="19" borderId="27" xfId="0" applyFont="1" applyFill="1" applyBorder="1" applyAlignment="1">
      <alignment vertical="center" wrapText="1"/>
    </xf>
    <xf numFmtId="0" fontId="28" fillId="9" borderId="27" xfId="0" applyFont="1" applyFill="1" applyBorder="1" applyAlignment="1">
      <alignment vertical="center" wrapText="1"/>
    </xf>
    <xf numFmtId="0" fontId="25" fillId="9" borderId="27" xfId="0" applyFont="1" applyFill="1" applyBorder="1" applyAlignment="1">
      <alignment horizontal="right" vertical="center" wrapText="1"/>
    </xf>
    <xf numFmtId="0" fontId="25" fillId="0" borderId="27" xfId="0" applyFont="1" applyBorder="1" applyAlignment="1">
      <alignment horizontal="right" vertical="center" wrapText="1"/>
    </xf>
    <xf numFmtId="0" fontId="25" fillId="0" borderId="27" xfId="0" applyFont="1" applyBorder="1" applyAlignment="1">
      <alignment horizontal="right" vertical="center"/>
    </xf>
    <xf numFmtId="0" fontId="25" fillId="10" borderId="27" xfId="0" applyFont="1" applyFill="1" applyBorder="1" applyAlignment="1">
      <alignment horizontal="right" vertical="center" wrapText="1"/>
    </xf>
    <xf numFmtId="0" fontId="25" fillId="11" borderId="27" xfId="0" applyFont="1" applyFill="1" applyBorder="1" applyAlignment="1">
      <alignment horizontal="right" vertical="center" wrapText="1"/>
    </xf>
    <xf numFmtId="0" fontId="25" fillId="0" borderId="27" xfId="0" applyFont="1" applyBorder="1" applyAlignment="1">
      <alignment horizontal="right" wrapText="1"/>
    </xf>
    <xf numFmtId="0" fontId="28" fillId="10" borderId="27" xfId="0" applyFont="1" applyFill="1" applyBorder="1" applyAlignment="1">
      <alignment horizontal="right" vertical="center" wrapText="1"/>
    </xf>
    <xf numFmtId="1" fontId="27" fillId="0" borderId="27" xfId="0" applyNumberFormat="1" applyFont="1" applyBorder="1" applyAlignment="1">
      <alignment horizontal="right"/>
    </xf>
    <xf numFmtId="0" fontId="27" fillId="0" borderId="27" xfId="0" applyFont="1" applyBorder="1" applyAlignment="1">
      <alignment horizontal="right" wrapText="1"/>
    </xf>
    <xf numFmtId="0" fontId="25" fillId="19" borderId="27" xfId="0" applyFont="1" applyFill="1" applyBorder="1" applyAlignment="1">
      <alignment horizontal="right" vertical="center" wrapText="1"/>
    </xf>
    <xf numFmtId="1" fontId="27" fillId="19" borderId="27" xfId="0" applyNumberFormat="1" applyFont="1" applyFill="1" applyBorder="1" applyAlignment="1">
      <alignment horizontal="right"/>
    </xf>
    <xf numFmtId="0" fontId="25" fillId="15" borderId="27" xfId="0" applyFont="1" applyFill="1" applyBorder="1" applyAlignment="1">
      <alignment horizontal="right" vertical="center" wrapText="1"/>
    </xf>
    <xf numFmtId="0" fontId="25" fillId="15" borderId="27" xfId="0" applyFont="1" applyFill="1" applyBorder="1" applyAlignment="1">
      <alignment horizontal="right" wrapText="1"/>
    </xf>
    <xf numFmtId="0" fontId="28" fillId="0" borderId="0" xfId="0" applyFont="1" applyAlignment="1">
      <alignment wrapText="1"/>
    </xf>
    <xf numFmtId="0" fontId="28" fillId="19" borderId="27" xfId="0" applyFont="1" applyFill="1" applyBorder="1" applyAlignment="1">
      <alignment horizontal="right" vertical="center" wrapText="1"/>
    </xf>
    <xf numFmtId="0" fontId="28" fillId="9" borderId="27" xfId="0" applyFont="1" applyFill="1" applyBorder="1" applyAlignment="1">
      <alignment horizontal="right" vertical="center" wrapText="1"/>
    </xf>
    <xf numFmtId="9" fontId="25" fillId="0" borderId="27" xfId="0" applyNumberFormat="1" applyFont="1" applyBorder="1" applyAlignment="1">
      <alignment horizontal="right" vertical="center" wrapText="1"/>
    </xf>
    <xf numFmtId="1" fontId="25" fillId="10" borderId="27" xfId="0" applyNumberFormat="1" applyFont="1" applyFill="1" applyBorder="1" applyAlignment="1">
      <alignment horizontal="right" vertical="center" wrapText="1"/>
    </xf>
    <xf numFmtId="44" fontId="26" fillId="8" borderId="0" xfId="2" applyFont="1" applyFill="1" applyAlignment="1">
      <alignment horizontal="right" vertical="center"/>
    </xf>
    <xf numFmtId="44" fontId="26" fillId="18" borderId="0" xfId="2" applyFont="1" applyFill="1" applyAlignment="1">
      <alignment horizontal="right" vertical="center"/>
    </xf>
    <xf numFmtId="44" fontId="26" fillId="8" borderId="0" xfId="2" applyFont="1" applyFill="1" applyAlignment="1">
      <alignment horizontal="right" vertical="center" wrapText="1"/>
    </xf>
    <xf numFmtId="0" fontId="28" fillId="15" borderId="27" xfId="0" applyFont="1" applyFill="1" applyBorder="1" applyAlignment="1">
      <alignment horizontal="right" vertical="center" wrapText="1"/>
    </xf>
    <xf numFmtId="0" fontId="25" fillId="0" borderId="27" xfId="0" applyFont="1" applyBorder="1" applyAlignment="1">
      <alignment wrapText="1"/>
    </xf>
    <xf numFmtId="44" fontId="25" fillId="0" borderId="27" xfId="0" applyNumberFormat="1" applyFont="1" applyBorder="1" applyAlignment="1">
      <alignment wrapText="1"/>
    </xf>
    <xf numFmtId="0" fontId="36" fillId="20" borderId="27" xfId="0" applyFont="1" applyFill="1" applyBorder="1" applyAlignment="1">
      <alignment wrapText="1"/>
    </xf>
    <xf numFmtId="0" fontId="1" fillId="0" borderId="27" xfId="0" applyFont="1" applyBorder="1"/>
    <xf numFmtId="0" fontId="24" fillId="21" borderId="27" xfId="0" applyFont="1" applyFill="1" applyBorder="1"/>
    <xf numFmtId="44" fontId="24" fillId="21" borderId="27" xfId="0" applyNumberFormat="1" applyFont="1" applyFill="1" applyBorder="1"/>
    <xf numFmtId="175" fontId="26" fillId="8" borderId="0" xfId="5" applyNumberFormat="1" applyFont="1" applyFill="1" applyAlignment="1">
      <alignment horizontal="right" vertical="center"/>
    </xf>
    <xf numFmtId="44" fontId="26" fillId="8" borderId="27" xfId="2" applyFont="1" applyFill="1" applyBorder="1" applyAlignment="1">
      <alignment horizontal="center" vertical="center"/>
    </xf>
    <xf numFmtId="44" fontId="25" fillId="12" borderId="27" xfId="2" applyFont="1" applyFill="1" applyBorder="1" applyAlignment="1">
      <alignment horizontal="center" wrapText="1"/>
    </xf>
    <xf numFmtId="44" fontId="25" fillId="13" borderId="27" xfId="2" applyFont="1" applyFill="1" applyBorder="1" applyAlignment="1">
      <alignment horizontal="center" wrapText="1"/>
    </xf>
    <xf numFmtId="44" fontId="26" fillId="14" borderId="27" xfId="2" applyFont="1" applyFill="1" applyBorder="1" applyAlignment="1">
      <alignment horizontal="center" wrapText="1"/>
    </xf>
    <xf numFmtId="175" fontId="25" fillId="0" borderId="27" xfId="5" applyNumberFormat="1" applyFont="1" applyBorder="1" applyAlignment="1">
      <alignment horizontal="right" vertical="center" wrapText="1"/>
    </xf>
  </cellXfs>
  <cellStyles count="7">
    <cellStyle name="Celda de comprobación" xfId="4" builtinId="23"/>
    <cellStyle name="Hipervínculo" xfId="1" builtinId="8"/>
    <cellStyle name="Millares" xfId="5" builtinId="3"/>
    <cellStyle name="Moneda" xfId="2" builtinId="4"/>
    <cellStyle name="Normal" xfId="0" builtinId="0"/>
    <cellStyle name="Normal 2" xfId="3" xr:uid="{FB44FB3F-1837-4A96-B23B-B3F384B932BB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029C-DE1A-4D28-8865-9DF4D71149ED}">
  <dimension ref="A2:R71"/>
  <sheetViews>
    <sheetView topLeftCell="B1" zoomScaleNormal="100" workbookViewId="0">
      <selection activeCell="D43" sqref="D43"/>
    </sheetView>
  </sheetViews>
  <sheetFormatPr baseColWidth="10" defaultRowHeight="14.5" x14ac:dyDescent="0.35"/>
  <cols>
    <col min="1" max="1" width="13.90625" bestFit="1" customWidth="1"/>
    <col min="3" max="3" width="86" customWidth="1"/>
    <col min="4" max="4" width="13.81640625" customWidth="1"/>
    <col min="5" max="5" width="10" bestFit="1" customWidth="1"/>
    <col min="6" max="8" width="10" customWidth="1"/>
    <col min="9" max="9" width="12.90625" bestFit="1" customWidth="1"/>
    <col min="10" max="11" width="12.90625" customWidth="1"/>
    <col min="12" max="12" width="19.08984375" customWidth="1"/>
    <col min="13" max="13" width="20.6328125" customWidth="1"/>
    <col min="14" max="14" width="11.36328125" bestFit="1" customWidth="1"/>
    <col min="15" max="15" width="23.08984375" bestFit="1" customWidth="1"/>
    <col min="16" max="16" width="11.90625" bestFit="1" customWidth="1"/>
    <col min="17" max="17" width="13.08984375" bestFit="1" customWidth="1"/>
  </cols>
  <sheetData>
    <row r="2" spans="1:17" ht="37.5" x14ac:dyDescent="0.35">
      <c r="A2" s="72"/>
      <c r="B2" s="73"/>
      <c r="C2" s="74" t="s">
        <v>68</v>
      </c>
      <c r="D2" s="74" t="s">
        <v>173</v>
      </c>
      <c r="E2" s="74" t="s">
        <v>56</v>
      </c>
      <c r="F2" s="74" t="s">
        <v>69</v>
      </c>
      <c r="G2" s="74" t="s">
        <v>70</v>
      </c>
      <c r="H2" s="74" t="s">
        <v>72</v>
      </c>
      <c r="I2" s="74" t="s">
        <v>71</v>
      </c>
      <c r="J2" s="118" t="s">
        <v>152</v>
      </c>
      <c r="K2" s="118" t="s">
        <v>153</v>
      </c>
      <c r="L2" s="75" t="s">
        <v>57</v>
      </c>
      <c r="M2" s="75" t="s">
        <v>148</v>
      </c>
      <c r="N2" s="76" t="s">
        <v>58</v>
      </c>
      <c r="O2" s="76" t="s">
        <v>59</v>
      </c>
      <c r="P2" s="76" t="s">
        <v>60</v>
      </c>
      <c r="Q2" s="73"/>
    </row>
    <row r="3" spans="1:17" x14ac:dyDescent="0.35">
      <c r="A3" s="72"/>
      <c r="B3" s="157"/>
      <c r="C3" s="134" t="s">
        <v>46</v>
      </c>
      <c r="D3" s="134"/>
      <c r="E3" s="135"/>
      <c r="F3" s="135"/>
      <c r="G3" s="135"/>
      <c r="H3" s="135"/>
      <c r="I3" s="150">
        <f>SUM(I4:I7)</f>
        <v>0</v>
      </c>
      <c r="J3" s="135">
        <f t="shared" ref="J3:K3" si="0">SUM(J4:J7)</f>
        <v>0</v>
      </c>
      <c r="K3" s="135">
        <f t="shared" si="0"/>
        <v>0</v>
      </c>
      <c r="L3" s="135">
        <f>SUM(L4:L7)</f>
        <v>160</v>
      </c>
      <c r="M3" s="135">
        <f t="shared" ref="M3:P3" si="1">SUM(M4:M7)</f>
        <v>160</v>
      </c>
      <c r="N3" s="135">
        <f t="shared" si="1"/>
        <v>0</v>
      </c>
      <c r="O3" s="135">
        <f t="shared" si="1"/>
        <v>0</v>
      </c>
      <c r="P3" s="135">
        <f t="shared" si="1"/>
        <v>0</v>
      </c>
      <c r="Q3" s="72"/>
    </row>
    <row r="4" spans="1:17" x14ac:dyDescent="0.35">
      <c r="A4" s="72"/>
      <c r="B4" s="157"/>
      <c r="C4" s="77" t="s">
        <v>47</v>
      </c>
      <c r="D4" s="77"/>
      <c r="E4" s="136"/>
      <c r="F4" s="136"/>
      <c r="G4" s="136"/>
      <c r="H4" s="136"/>
      <c r="I4" s="136"/>
      <c r="J4" s="136"/>
      <c r="K4" s="136"/>
      <c r="L4" s="137">
        <v>40</v>
      </c>
      <c r="M4" s="137">
        <v>40</v>
      </c>
      <c r="N4" s="136"/>
      <c r="O4" s="136"/>
      <c r="P4" s="136"/>
      <c r="Q4" s="72"/>
    </row>
    <row r="5" spans="1:17" x14ac:dyDescent="0.35">
      <c r="A5" s="72"/>
      <c r="B5" s="157"/>
      <c r="C5" s="77" t="s">
        <v>48</v>
      </c>
      <c r="D5" s="77"/>
      <c r="E5" s="136"/>
      <c r="F5" s="136"/>
      <c r="G5" s="136"/>
      <c r="H5" s="136"/>
      <c r="I5" s="136"/>
      <c r="J5" s="136"/>
      <c r="K5" s="136"/>
      <c r="L5" s="137">
        <v>40</v>
      </c>
      <c r="M5" s="137">
        <v>40</v>
      </c>
      <c r="N5" s="136"/>
      <c r="O5" s="136"/>
      <c r="P5" s="136"/>
      <c r="Q5" s="72"/>
    </row>
    <row r="6" spans="1:17" x14ac:dyDescent="0.35">
      <c r="A6" s="72"/>
      <c r="B6" s="157"/>
      <c r="C6" s="77" t="s">
        <v>49</v>
      </c>
      <c r="D6" s="77"/>
      <c r="E6" s="136"/>
      <c r="F6" s="136"/>
      <c r="G6" s="136"/>
      <c r="H6" s="136"/>
      <c r="I6" s="136"/>
      <c r="J6" s="136"/>
      <c r="K6" s="136"/>
      <c r="L6" s="137">
        <v>40</v>
      </c>
      <c r="M6" s="137">
        <v>40</v>
      </c>
      <c r="N6" s="136"/>
      <c r="O6" s="136"/>
      <c r="P6" s="136"/>
      <c r="Q6" s="72"/>
    </row>
    <row r="7" spans="1:17" x14ac:dyDescent="0.35">
      <c r="A7" s="72"/>
      <c r="B7" s="157"/>
      <c r="C7" s="77" t="s">
        <v>50</v>
      </c>
      <c r="D7" s="77"/>
      <c r="E7" s="136"/>
      <c r="F7" s="136"/>
      <c r="G7" s="136"/>
      <c r="H7" s="136"/>
      <c r="I7" s="136"/>
      <c r="J7" s="136"/>
      <c r="K7" s="136"/>
      <c r="L7" s="137">
        <v>40</v>
      </c>
      <c r="M7" s="137">
        <v>40</v>
      </c>
      <c r="N7" s="136"/>
      <c r="O7" s="136"/>
      <c r="P7" s="136"/>
      <c r="Q7" s="72"/>
    </row>
    <row r="8" spans="1:17" x14ac:dyDescent="0.35">
      <c r="A8" s="72"/>
      <c r="B8" s="157"/>
      <c r="C8" s="100" t="s">
        <v>154</v>
      </c>
      <c r="D8" s="100"/>
      <c r="E8" s="138"/>
      <c r="F8" s="138"/>
      <c r="G8" s="138"/>
      <c r="H8" s="138"/>
      <c r="I8" s="141">
        <f>SUM(I9:I10)</f>
        <v>31679.999999999996</v>
      </c>
      <c r="J8" s="141">
        <f t="shared" ref="J8:K8" si="2">SUM(J9:J10)</f>
        <v>8640</v>
      </c>
      <c r="K8" s="141">
        <f t="shared" si="2"/>
        <v>23039.999999999996</v>
      </c>
      <c r="L8" s="138">
        <f>SUM(L9:L10)</f>
        <v>0</v>
      </c>
      <c r="M8" s="138">
        <f t="shared" ref="M8:P8" si="3">SUM(M9:M10)</f>
        <v>0</v>
      </c>
      <c r="N8" s="138">
        <f t="shared" si="3"/>
        <v>0</v>
      </c>
      <c r="O8" s="138">
        <f t="shared" si="3"/>
        <v>0</v>
      </c>
      <c r="P8" s="138">
        <f t="shared" si="3"/>
        <v>0</v>
      </c>
      <c r="Q8" s="72"/>
    </row>
    <row r="9" spans="1:17" x14ac:dyDescent="0.35">
      <c r="A9" s="72"/>
      <c r="B9" s="157"/>
      <c r="C9" s="77" t="s">
        <v>155</v>
      </c>
      <c r="D9" s="77">
        <v>2</v>
      </c>
      <c r="E9" s="136">
        <v>64</v>
      </c>
      <c r="F9" s="136">
        <v>800</v>
      </c>
      <c r="G9" s="151">
        <v>0.55000000000000004</v>
      </c>
      <c r="H9" s="136">
        <f>F9*(1-G9)</f>
        <v>359.99999999999994</v>
      </c>
      <c r="I9" s="136">
        <f>E9*F9*(1-G9)</f>
        <v>23039.999999999996</v>
      </c>
      <c r="J9" s="156">
        <f t="shared" ref="J9:J25" si="4">(I9*(D9=1))</f>
        <v>0</v>
      </c>
      <c r="K9" s="136">
        <f>I9*(D9=2)</f>
        <v>23039.999999999996</v>
      </c>
      <c r="L9" s="139"/>
      <c r="M9" s="139"/>
      <c r="N9" s="139"/>
      <c r="O9" s="139"/>
      <c r="P9" s="139"/>
      <c r="Q9" s="72"/>
    </row>
    <row r="10" spans="1:17" ht="17.25" customHeight="1" x14ac:dyDescent="0.35">
      <c r="A10" s="72"/>
      <c r="B10" s="157"/>
      <c r="C10" s="77" t="s">
        <v>156</v>
      </c>
      <c r="D10" s="77">
        <v>1</v>
      </c>
      <c r="E10" s="136">
        <v>64</v>
      </c>
      <c r="F10" s="136">
        <v>300</v>
      </c>
      <c r="G10" s="151">
        <v>0.55000000000000004</v>
      </c>
      <c r="H10" s="136">
        <f>F10*(1-G10)</f>
        <v>135</v>
      </c>
      <c r="I10" s="136">
        <f>E10*F10*(1-G10)</f>
        <v>8640</v>
      </c>
      <c r="J10" s="146">
        <f t="shared" si="4"/>
        <v>8640</v>
      </c>
      <c r="K10" s="136">
        <f t="shared" ref="K10:K23" si="5">I10*(D10=2)</f>
        <v>0</v>
      </c>
      <c r="L10" s="139"/>
      <c r="M10" s="139"/>
      <c r="N10" s="139"/>
      <c r="O10" s="140"/>
      <c r="P10" s="139"/>
      <c r="Q10" s="72"/>
    </row>
    <row r="11" spans="1:17" ht="17.25" customHeight="1" x14ac:dyDescent="0.35">
      <c r="A11" s="72"/>
      <c r="B11" s="157"/>
      <c r="C11" s="100" t="s">
        <v>157</v>
      </c>
      <c r="D11" s="100"/>
      <c r="E11" s="141"/>
      <c r="F11" s="141"/>
      <c r="G11" s="141"/>
      <c r="H11" s="141"/>
      <c r="I11" s="141">
        <f>SUM(I12:I17)</f>
        <v>29700</v>
      </c>
      <c r="J11" s="141">
        <f>SUM(J12:J17)</f>
        <v>16200</v>
      </c>
      <c r="K11" s="141">
        <f>SUM(K12:K17)</f>
        <v>13499.999999999998</v>
      </c>
      <c r="L11" s="138">
        <f>SUM(L12:L17)</f>
        <v>0</v>
      </c>
      <c r="M11" s="138">
        <f>SUM(M12:M17)</f>
        <v>0</v>
      </c>
      <c r="N11" s="138">
        <f t="shared" ref="N11:P11" si="6">SUM(N12:N17)</f>
        <v>0</v>
      </c>
      <c r="O11" s="138">
        <f t="shared" si="6"/>
        <v>0</v>
      </c>
      <c r="P11" s="138">
        <f t="shared" si="6"/>
        <v>0</v>
      </c>
      <c r="Q11" s="72"/>
    </row>
    <row r="12" spans="1:17" ht="17.25" customHeight="1" x14ac:dyDescent="0.35">
      <c r="A12" s="72"/>
      <c r="B12" s="157"/>
      <c r="C12" s="77" t="s">
        <v>178</v>
      </c>
      <c r="D12" s="77">
        <v>2</v>
      </c>
      <c r="E12" s="136">
        <v>4</v>
      </c>
      <c r="F12" s="136">
        <v>6500</v>
      </c>
      <c r="G12" s="151">
        <v>0.55000000000000004</v>
      </c>
      <c r="H12" s="136">
        <f>F12*(1-G12)</f>
        <v>2924.9999999999995</v>
      </c>
      <c r="I12" s="136">
        <f>E12*F12*(1-G12)</f>
        <v>11699.999999999998</v>
      </c>
      <c r="J12" s="136">
        <f>(I12*(D12=1))</f>
        <v>0</v>
      </c>
      <c r="K12" s="136">
        <f>I12*(D12=2)</f>
        <v>11699.999999999998</v>
      </c>
      <c r="L12" s="139"/>
      <c r="M12" s="139"/>
      <c r="N12" s="139"/>
      <c r="O12" s="140"/>
      <c r="P12" s="139"/>
      <c r="Q12" s="72"/>
    </row>
    <row r="13" spans="1:17" ht="17.25" customHeight="1" x14ac:dyDescent="0.35">
      <c r="A13" s="72"/>
      <c r="B13" s="157"/>
      <c r="C13" s="77" t="s">
        <v>179</v>
      </c>
      <c r="D13" s="77">
        <v>2</v>
      </c>
      <c r="E13" s="136">
        <v>4</v>
      </c>
      <c r="F13" s="136">
        <v>1000</v>
      </c>
      <c r="G13" s="151">
        <v>0.55000000000000004</v>
      </c>
      <c r="H13" s="136">
        <f>F13*(1-G13)</f>
        <v>449.99999999999994</v>
      </c>
      <c r="I13" s="136">
        <f>E13*F13*(1-G13)</f>
        <v>1799.9999999999998</v>
      </c>
      <c r="J13" s="136">
        <f>(I13*(D13=1))</f>
        <v>0</v>
      </c>
      <c r="K13" s="136">
        <f>I13*(D13=2)</f>
        <v>1799.9999999999998</v>
      </c>
      <c r="L13" s="139"/>
      <c r="M13" s="139"/>
      <c r="N13" s="139"/>
      <c r="O13" s="140"/>
      <c r="P13" s="139"/>
      <c r="Q13" s="72"/>
    </row>
    <row r="14" spans="1:17" ht="17.25" customHeight="1" x14ac:dyDescent="0.35">
      <c r="A14" s="72"/>
      <c r="B14" s="157"/>
      <c r="C14" s="77" t="s">
        <v>158</v>
      </c>
      <c r="D14" s="77">
        <v>1</v>
      </c>
      <c r="E14" s="136">
        <v>4</v>
      </c>
      <c r="F14" s="136">
        <v>500</v>
      </c>
      <c r="G14" s="151">
        <v>0.55000000000000004</v>
      </c>
      <c r="H14" s="136">
        <f t="shared" ref="H14:H17" si="7">F14*(1-G14)</f>
        <v>224.99999999999997</v>
      </c>
      <c r="I14" s="136">
        <f t="shared" ref="I14:I17" si="8">E14*F14*(1-G14)</f>
        <v>899.99999999999989</v>
      </c>
      <c r="J14" s="136">
        <f t="shared" si="4"/>
        <v>899.99999999999989</v>
      </c>
      <c r="K14" s="136">
        <f t="shared" si="5"/>
        <v>0</v>
      </c>
      <c r="L14" s="139"/>
      <c r="M14" s="139"/>
      <c r="N14" s="139"/>
      <c r="O14" s="140"/>
      <c r="P14" s="139"/>
      <c r="Q14" s="72"/>
    </row>
    <row r="15" spans="1:17" ht="17.25" customHeight="1" x14ac:dyDescent="0.35">
      <c r="A15" s="72"/>
      <c r="B15" s="157"/>
      <c r="C15" s="77" t="s">
        <v>159</v>
      </c>
      <c r="D15" s="77">
        <v>1</v>
      </c>
      <c r="E15" s="136">
        <v>40</v>
      </c>
      <c r="F15" s="136">
        <v>500</v>
      </c>
      <c r="G15" s="151">
        <v>0.55000000000000004</v>
      </c>
      <c r="H15" s="136">
        <f t="shared" si="7"/>
        <v>224.99999999999997</v>
      </c>
      <c r="I15" s="136">
        <f t="shared" si="8"/>
        <v>9000</v>
      </c>
      <c r="J15" s="136">
        <f t="shared" si="4"/>
        <v>9000</v>
      </c>
      <c r="K15" s="136">
        <f t="shared" si="5"/>
        <v>0</v>
      </c>
      <c r="L15" s="139"/>
      <c r="M15" s="139"/>
      <c r="N15" s="139"/>
      <c r="O15" s="140"/>
      <c r="P15" s="139"/>
      <c r="Q15" s="72"/>
    </row>
    <row r="16" spans="1:17" ht="17.25" customHeight="1" x14ac:dyDescent="0.35">
      <c r="A16" s="72"/>
      <c r="B16" s="157"/>
      <c r="C16" s="77" t="s">
        <v>160</v>
      </c>
      <c r="D16" s="77">
        <v>1</v>
      </c>
      <c r="E16" s="136">
        <v>4</v>
      </c>
      <c r="F16" s="136">
        <v>2000</v>
      </c>
      <c r="G16" s="151">
        <v>0.55000000000000004</v>
      </c>
      <c r="H16" s="136">
        <f t="shared" si="7"/>
        <v>899.99999999999989</v>
      </c>
      <c r="I16" s="136">
        <f t="shared" si="8"/>
        <v>3599.9999999999995</v>
      </c>
      <c r="J16" s="136">
        <f t="shared" si="4"/>
        <v>3599.9999999999995</v>
      </c>
      <c r="K16" s="136">
        <f t="shared" si="5"/>
        <v>0</v>
      </c>
      <c r="L16" s="139"/>
      <c r="M16" s="139"/>
      <c r="N16" s="139"/>
      <c r="O16" s="140"/>
      <c r="P16" s="139"/>
      <c r="Q16" s="72"/>
    </row>
    <row r="17" spans="1:17" ht="17.25" customHeight="1" x14ac:dyDescent="0.35">
      <c r="A17" s="72"/>
      <c r="B17" s="157"/>
      <c r="C17" s="77" t="s">
        <v>161</v>
      </c>
      <c r="D17" s="77">
        <v>1</v>
      </c>
      <c r="E17" s="136">
        <v>4</v>
      </c>
      <c r="F17" s="136">
        <v>1500</v>
      </c>
      <c r="G17" s="151">
        <v>0.55000000000000004</v>
      </c>
      <c r="H17" s="136">
        <f t="shared" si="7"/>
        <v>674.99999999999989</v>
      </c>
      <c r="I17" s="136">
        <f t="shared" si="8"/>
        <v>2699.9999999999995</v>
      </c>
      <c r="J17" s="136">
        <f t="shared" si="4"/>
        <v>2699.9999999999995</v>
      </c>
      <c r="K17" s="136">
        <f t="shared" si="5"/>
        <v>0</v>
      </c>
      <c r="L17" s="139"/>
      <c r="M17" s="139"/>
      <c r="N17" s="139"/>
      <c r="O17" s="140"/>
      <c r="P17" s="139"/>
      <c r="Q17" s="72"/>
    </row>
    <row r="18" spans="1:17" x14ac:dyDescent="0.35">
      <c r="A18" s="72"/>
      <c r="B18" s="157"/>
      <c r="C18" s="100" t="s">
        <v>163</v>
      </c>
      <c r="D18" s="100"/>
      <c r="E18" s="138"/>
      <c r="F18" s="138"/>
      <c r="G18" s="138"/>
      <c r="H18" s="138"/>
      <c r="I18" s="141">
        <f>SUM(I19:I20)</f>
        <v>11340</v>
      </c>
      <c r="J18" s="141">
        <f>SUM(J19:J20)</f>
        <v>0</v>
      </c>
      <c r="K18" s="141">
        <f>SUM(K19:K20)</f>
        <v>0</v>
      </c>
      <c r="L18" s="138">
        <f>SUM(L19:L20)</f>
        <v>0</v>
      </c>
      <c r="M18" s="138">
        <f>SUM(M19:M20)</f>
        <v>0</v>
      </c>
      <c r="N18" s="138">
        <f>SUM(N19:N20)</f>
        <v>0</v>
      </c>
      <c r="O18" s="138">
        <f>SUM(O19:O20)</f>
        <v>0</v>
      </c>
      <c r="P18" s="138">
        <f>SUM(P19:P20)</f>
        <v>0</v>
      </c>
      <c r="Q18" s="72"/>
    </row>
    <row r="19" spans="1:17" x14ac:dyDescent="0.35">
      <c r="A19" s="72"/>
      <c r="B19" s="157"/>
      <c r="C19" s="77" t="s">
        <v>162</v>
      </c>
      <c r="D19" s="77"/>
      <c r="E19" s="136">
        <v>2</v>
      </c>
      <c r="F19" s="136">
        <v>550</v>
      </c>
      <c r="G19" s="151">
        <v>0</v>
      </c>
      <c r="H19" s="136">
        <f>F19*(1-G19)</f>
        <v>550</v>
      </c>
      <c r="I19" s="136">
        <f>E19*F19</f>
        <v>1100</v>
      </c>
      <c r="J19" s="136">
        <f t="shared" si="4"/>
        <v>0</v>
      </c>
      <c r="K19" s="136">
        <f t="shared" si="5"/>
        <v>0</v>
      </c>
      <c r="L19" s="136"/>
      <c r="M19" s="136"/>
      <c r="N19" s="136"/>
      <c r="O19" s="136"/>
      <c r="P19" s="136">
        <v>0</v>
      </c>
      <c r="Q19" s="72"/>
    </row>
    <row r="20" spans="1:17" x14ac:dyDescent="0.35">
      <c r="A20" s="72"/>
      <c r="B20" s="157"/>
      <c r="C20" s="77" t="s">
        <v>180</v>
      </c>
      <c r="D20" s="77"/>
      <c r="E20" s="136">
        <v>64</v>
      </c>
      <c r="F20" s="168">
        <v>160</v>
      </c>
      <c r="G20" s="151">
        <v>0</v>
      </c>
      <c r="H20" s="136">
        <f t="shared" ref="H20" si="9">F20*(1-G20)</f>
        <v>160</v>
      </c>
      <c r="I20" s="136">
        <f t="shared" ref="I20" si="10">E20*F20</f>
        <v>10240</v>
      </c>
      <c r="J20" s="136">
        <f t="shared" si="4"/>
        <v>0</v>
      </c>
      <c r="K20" s="136">
        <f t="shared" si="5"/>
        <v>0</v>
      </c>
      <c r="L20" s="136"/>
      <c r="M20" s="142"/>
      <c r="N20" s="143"/>
      <c r="O20" s="140"/>
      <c r="P20" s="143"/>
      <c r="Q20" s="72"/>
    </row>
    <row r="21" spans="1:17" x14ac:dyDescent="0.35">
      <c r="A21" s="72"/>
      <c r="B21" s="157"/>
      <c r="C21" s="100" t="s">
        <v>164</v>
      </c>
      <c r="D21" s="100"/>
      <c r="E21" s="138">
        <v>1</v>
      </c>
      <c r="F21" s="138"/>
      <c r="G21" s="138"/>
      <c r="H21" s="138"/>
      <c r="I21" s="141">
        <f>SUM(I22:I23)</f>
        <v>12150</v>
      </c>
      <c r="J21" s="141">
        <f t="shared" ref="J21:K21" si="11">SUM(J22:J23)</f>
        <v>12150</v>
      </c>
      <c r="K21" s="141">
        <f t="shared" si="11"/>
        <v>0</v>
      </c>
      <c r="L21" s="138">
        <v>20</v>
      </c>
      <c r="M21" s="152">
        <f>SUM(M22:M23)</f>
        <v>40</v>
      </c>
      <c r="N21" s="152">
        <f t="shared" ref="N21:P21" si="12">SUM(N22:N23)</f>
        <v>0</v>
      </c>
      <c r="O21" s="152">
        <f t="shared" si="12"/>
        <v>0</v>
      </c>
      <c r="P21" s="152">
        <f t="shared" si="12"/>
        <v>0</v>
      </c>
      <c r="Q21" s="72"/>
    </row>
    <row r="22" spans="1:17" x14ac:dyDescent="0.35">
      <c r="A22" s="72"/>
      <c r="B22" s="157"/>
      <c r="C22" s="77" t="s">
        <v>165</v>
      </c>
      <c r="D22" s="77">
        <v>1</v>
      </c>
      <c r="E22" s="136">
        <v>1</v>
      </c>
      <c r="F22" s="136">
        <v>7000</v>
      </c>
      <c r="G22" s="151">
        <v>0.55000000000000004</v>
      </c>
      <c r="H22" s="136">
        <f>F22*(1-G22)</f>
        <v>3149.9999999999995</v>
      </c>
      <c r="I22" s="89">
        <f>F22*E22*(1-G22)</f>
        <v>3149.9999999999995</v>
      </c>
      <c r="J22" s="89">
        <f t="shared" si="4"/>
        <v>3149.9999999999995</v>
      </c>
      <c r="K22" s="136">
        <f t="shared" si="5"/>
        <v>0</v>
      </c>
      <c r="L22" s="136">
        <v>10</v>
      </c>
      <c r="M22" s="142">
        <v>20</v>
      </c>
      <c r="N22" s="136"/>
      <c r="O22" s="140"/>
      <c r="P22" s="143"/>
      <c r="Q22" s="72"/>
    </row>
    <row r="23" spans="1:17" x14ac:dyDescent="0.35">
      <c r="A23" s="72"/>
      <c r="B23" s="157"/>
      <c r="C23" s="77" t="s">
        <v>166</v>
      </c>
      <c r="D23" s="77">
        <v>1</v>
      </c>
      <c r="E23" s="136">
        <v>1</v>
      </c>
      <c r="F23" s="136">
        <v>20000</v>
      </c>
      <c r="G23" s="151">
        <v>0.55000000000000004</v>
      </c>
      <c r="H23" s="136">
        <f>F23*(1-G23)</f>
        <v>9000</v>
      </c>
      <c r="I23" s="89">
        <f>F23*E23*(1-G23)</f>
        <v>9000</v>
      </c>
      <c r="J23" s="89">
        <f t="shared" si="4"/>
        <v>9000</v>
      </c>
      <c r="K23" s="136">
        <f t="shared" si="5"/>
        <v>0</v>
      </c>
      <c r="L23" s="136">
        <v>10</v>
      </c>
      <c r="M23" s="142">
        <v>20</v>
      </c>
      <c r="N23" s="136"/>
      <c r="O23" s="140"/>
      <c r="P23" s="143"/>
      <c r="Q23" s="72"/>
    </row>
    <row r="24" spans="1:17" x14ac:dyDescent="0.35">
      <c r="A24" s="72"/>
      <c r="B24" s="157"/>
      <c r="C24" s="133" t="s">
        <v>167</v>
      </c>
      <c r="D24" s="133"/>
      <c r="E24" s="144"/>
      <c r="F24" s="144"/>
      <c r="G24" s="144"/>
      <c r="H24" s="144"/>
      <c r="I24" s="149">
        <f>SUM(I25)</f>
        <v>0</v>
      </c>
      <c r="J24" s="141">
        <f t="shared" si="4"/>
        <v>0</v>
      </c>
      <c r="K24" s="149">
        <f t="shared" ref="K24" si="13">SUM(K25)</f>
        <v>0</v>
      </c>
      <c r="L24" s="144">
        <f>SUM(L25)</f>
        <v>10</v>
      </c>
      <c r="M24" s="144">
        <f>SUM(M25)</f>
        <v>20</v>
      </c>
      <c r="N24" s="145">
        <f t="shared" ref="N24:P24" si="14">SUM(N25)</f>
        <v>0</v>
      </c>
      <c r="O24" s="145">
        <f t="shared" si="14"/>
        <v>0</v>
      </c>
      <c r="P24" s="145">
        <f t="shared" si="14"/>
        <v>0</v>
      </c>
      <c r="Q24" s="72"/>
    </row>
    <row r="25" spans="1:17" x14ac:dyDescent="0.35">
      <c r="A25" s="72"/>
      <c r="B25" s="157"/>
      <c r="C25" s="77" t="s">
        <v>101</v>
      </c>
      <c r="D25" s="77"/>
      <c r="E25" s="136"/>
      <c r="F25" s="136"/>
      <c r="G25" s="136"/>
      <c r="H25" s="136"/>
      <c r="I25" s="136"/>
      <c r="J25" s="136">
        <f t="shared" si="4"/>
        <v>0</v>
      </c>
      <c r="K25" s="136"/>
      <c r="L25" s="136">
        <v>10</v>
      </c>
      <c r="M25" s="142">
        <v>20</v>
      </c>
      <c r="N25" s="136"/>
      <c r="O25" s="140"/>
      <c r="P25" s="143"/>
      <c r="Q25" s="72"/>
    </row>
    <row r="26" spans="1:17" x14ac:dyDescent="0.35">
      <c r="A26" s="72"/>
      <c r="B26" s="157"/>
      <c r="C26" s="100" t="s">
        <v>102</v>
      </c>
      <c r="D26" s="100"/>
      <c r="E26" s="138"/>
      <c r="F26" s="138"/>
      <c r="G26" s="138"/>
      <c r="H26" s="138"/>
      <c r="I26" s="141">
        <f>SUM(I27:I30)</f>
        <v>0</v>
      </c>
      <c r="J26" s="141">
        <f t="shared" ref="J26:K26" si="15">SUM(J27:J30)</f>
        <v>0</v>
      </c>
      <c r="K26" s="141">
        <f t="shared" si="15"/>
        <v>0</v>
      </c>
      <c r="L26" s="138">
        <f t="shared" ref="L26" si="16">SUM(L27:L30)</f>
        <v>32</v>
      </c>
      <c r="M26" s="138">
        <f>SUM(M27:M29)</f>
        <v>48</v>
      </c>
      <c r="N26" s="138">
        <f t="shared" ref="N26:P26" si="17">SUM(N27:N29)</f>
        <v>0</v>
      </c>
      <c r="O26" s="138">
        <f t="shared" si="17"/>
        <v>0</v>
      </c>
      <c r="P26" s="138">
        <f t="shared" si="17"/>
        <v>0</v>
      </c>
      <c r="Q26" s="72"/>
    </row>
    <row r="27" spans="1:17" x14ac:dyDescent="0.35">
      <c r="A27" s="72"/>
      <c r="B27" s="157"/>
      <c r="C27" s="77" t="s">
        <v>172</v>
      </c>
      <c r="D27" s="77"/>
      <c r="E27" s="136"/>
      <c r="F27" s="136"/>
      <c r="G27" s="136"/>
      <c r="H27" s="136"/>
      <c r="I27" s="136"/>
      <c r="J27" s="136"/>
      <c r="K27" s="136"/>
      <c r="L27" s="136">
        <v>16</v>
      </c>
      <c r="M27" s="136">
        <v>16</v>
      </c>
      <c r="N27" s="136"/>
      <c r="O27" s="136"/>
      <c r="P27" s="140"/>
      <c r="Q27" s="72"/>
    </row>
    <row r="28" spans="1:17" x14ac:dyDescent="0.35">
      <c r="A28" s="72"/>
      <c r="B28" s="157"/>
      <c r="C28" s="77" t="s">
        <v>103</v>
      </c>
      <c r="D28" s="77"/>
      <c r="E28" s="136"/>
      <c r="F28" s="136"/>
      <c r="G28" s="136"/>
      <c r="H28" s="136"/>
      <c r="I28" s="136"/>
      <c r="J28" s="136"/>
      <c r="K28" s="136"/>
      <c r="L28" s="136">
        <v>8</v>
      </c>
      <c r="M28" s="136">
        <v>16</v>
      </c>
      <c r="N28" s="136"/>
      <c r="O28" s="136"/>
      <c r="P28" s="140"/>
      <c r="Q28" s="72"/>
    </row>
    <row r="29" spans="1:17" x14ac:dyDescent="0.35">
      <c r="A29" s="72"/>
      <c r="B29" s="157"/>
      <c r="C29" s="77" t="s">
        <v>104</v>
      </c>
      <c r="D29" s="77"/>
      <c r="E29" s="136"/>
      <c r="F29" s="136"/>
      <c r="G29" s="136"/>
      <c r="H29" s="136"/>
      <c r="I29" s="136"/>
      <c r="J29" s="136"/>
      <c r="K29" s="136"/>
      <c r="L29" s="136">
        <v>8</v>
      </c>
      <c r="M29" s="136">
        <v>16</v>
      </c>
      <c r="N29" s="136"/>
      <c r="O29" s="136"/>
      <c r="P29" s="140"/>
      <c r="Q29" s="72"/>
    </row>
    <row r="30" spans="1:17" x14ac:dyDescent="0.35">
      <c r="A30" s="72"/>
      <c r="B30" s="157"/>
      <c r="C30" s="101"/>
      <c r="D30" s="101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7"/>
      <c r="P30" s="146"/>
      <c r="Q30" s="72"/>
    </row>
    <row r="31" spans="1:17" x14ac:dyDescent="0.35">
      <c r="A31" s="72"/>
      <c r="B31" s="72"/>
      <c r="C31" s="78"/>
      <c r="D31" s="78"/>
      <c r="E31" s="78"/>
      <c r="F31" s="78"/>
      <c r="G31" s="78"/>
      <c r="H31" s="78"/>
      <c r="I31" s="75"/>
      <c r="J31" s="154">
        <f>J8+J11+J18+J21+J24+J26</f>
        <v>36990</v>
      </c>
      <c r="K31" s="154">
        <f>K8+K11+K18+K21+K24+K26</f>
        <v>36539.999999999993</v>
      </c>
      <c r="L31" s="163">
        <f>L3+L8+L11+L18+L21+L24+L26</f>
        <v>222</v>
      </c>
      <c r="M31" s="163">
        <f>M3+M8+M18+M21+M26</f>
        <v>248</v>
      </c>
      <c r="N31" s="163">
        <f>N3+N8+N18+N21+N26</f>
        <v>0</v>
      </c>
      <c r="O31" s="153">
        <f>O3+O8+O18+O21+O26</f>
        <v>0</v>
      </c>
      <c r="P31" s="153">
        <f>P3+P8+P18+P21+P26</f>
        <v>0</v>
      </c>
      <c r="Q31" s="79"/>
    </row>
    <row r="32" spans="1:17" x14ac:dyDescent="0.35">
      <c r="A32" s="72"/>
      <c r="B32" s="72"/>
      <c r="C32" s="78"/>
      <c r="D32" s="78"/>
      <c r="E32" s="78"/>
      <c r="F32" s="78"/>
      <c r="G32" s="78"/>
      <c r="H32" s="78"/>
      <c r="I32" s="75"/>
      <c r="J32" s="154">
        <v>1</v>
      </c>
      <c r="K32" s="154">
        <v>1</v>
      </c>
      <c r="L32" s="153">
        <v>44.728410022779045</v>
      </c>
      <c r="M32" s="153">
        <f>'Plantilla de Validacion '!E15</f>
        <v>37.006288918792706</v>
      </c>
      <c r="N32" s="153">
        <f>'Plantilla de Validacion '!E16</f>
        <v>28.976699450455584</v>
      </c>
      <c r="O32" s="155">
        <v>30</v>
      </c>
      <c r="P32" s="155">
        <f>'Plantilla de Validacion '!E16</f>
        <v>28.976699450455584</v>
      </c>
      <c r="Q32" s="72"/>
    </row>
    <row r="33" spans="1:18" ht="15" thickBot="1" x14ac:dyDescent="0.4">
      <c r="A33" s="72"/>
      <c r="B33" s="72"/>
      <c r="C33" s="78"/>
      <c r="D33" s="78"/>
      <c r="E33" s="78"/>
      <c r="F33" s="78"/>
      <c r="G33" s="78"/>
      <c r="H33" s="78"/>
      <c r="I33" s="88">
        <f>I8+I11+I18+I21+I24+I26</f>
        <v>84870</v>
      </c>
      <c r="J33" s="154">
        <f t="shared" ref="I33:K33" si="18">J31*J32</f>
        <v>36990</v>
      </c>
      <c r="K33" s="154">
        <f t="shared" si="18"/>
        <v>36539.999999999993</v>
      </c>
      <c r="L33" s="153">
        <f>L31*L32</f>
        <v>9929.7070250569486</v>
      </c>
      <c r="M33" s="153">
        <f t="shared" ref="M33:P33" si="19">M31*M32</f>
        <v>9177.5596518605907</v>
      </c>
      <c r="N33" s="153">
        <f t="shared" si="19"/>
        <v>0</v>
      </c>
      <c r="O33" s="153">
        <f t="shared" si="19"/>
        <v>0</v>
      </c>
      <c r="P33" s="153">
        <f t="shared" si="19"/>
        <v>0</v>
      </c>
      <c r="Q33" s="164">
        <f>SUM(I33:P33)</f>
        <v>177507.26667691753</v>
      </c>
    </row>
    <row r="34" spans="1:18" ht="15" thickBot="1" x14ac:dyDescent="0.4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80" t="s">
        <v>149</v>
      </c>
      <c r="P34" s="81"/>
      <c r="Q34" s="165">
        <f>SUM(L33:P33)</f>
        <v>19107.266676917541</v>
      </c>
    </row>
    <row r="35" spans="1:18" ht="15" thickBot="1" x14ac:dyDescent="0.4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80" t="s">
        <v>169</v>
      </c>
      <c r="P35" s="81"/>
      <c r="Q35" s="165">
        <v>0</v>
      </c>
      <c r="R35" t="s">
        <v>61</v>
      </c>
    </row>
    <row r="36" spans="1:18" ht="15" thickBot="1" x14ac:dyDescent="0.4">
      <c r="A36" s="72"/>
      <c r="B36" s="72"/>
      <c r="C36" s="72"/>
      <c r="D36" s="72"/>
      <c r="E36" s="72"/>
      <c r="F36" s="72"/>
      <c r="G36" s="72"/>
      <c r="H36" s="72"/>
      <c r="I36" s="159" t="s">
        <v>24</v>
      </c>
      <c r="J36" s="159" t="s">
        <v>174</v>
      </c>
      <c r="K36" s="159" t="s">
        <v>63</v>
      </c>
      <c r="L36" s="72"/>
      <c r="M36" s="72"/>
      <c r="N36" s="72"/>
      <c r="O36" s="80" t="s">
        <v>163</v>
      </c>
      <c r="P36" s="81"/>
      <c r="Q36" s="165">
        <f>I19+I20</f>
        <v>11340</v>
      </c>
    </row>
    <row r="37" spans="1:18" ht="15" thickBot="1" x14ac:dyDescent="0.4">
      <c r="A37" s="72"/>
      <c r="B37" s="72"/>
      <c r="C37" s="72"/>
      <c r="D37" s="72"/>
      <c r="E37" s="72"/>
      <c r="F37" s="72"/>
      <c r="G37" s="72"/>
      <c r="H37" s="72"/>
      <c r="I37" s="157">
        <v>1</v>
      </c>
      <c r="J37" s="157" t="s">
        <v>152</v>
      </c>
      <c r="K37" s="158">
        <f>J33</f>
        <v>36990</v>
      </c>
      <c r="L37" s="72"/>
      <c r="M37" s="72"/>
      <c r="N37" s="72"/>
      <c r="O37" s="80" t="s">
        <v>62</v>
      </c>
      <c r="P37" s="81"/>
      <c r="Q37" s="165">
        <v>2000</v>
      </c>
    </row>
    <row r="38" spans="1:18" ht="15" thickBot="1" x14ac:dyDescent="0.4">
      <c r="A38" s="72"/>
      <c r="B38" s="72"/>
      <c r="C38" s="72"/>
      <c r="D38" s="72"/>
      <c r="E38" s="72"/>
      <c r="F38" s="72"/>
      <c r="G38" s="72"/>
      <c r="H38" s="72"/>
      <c r="I38" s="157">
        <v>2</v>
      </c>
      <c r="J38" s="157" t="s">
        <v>175</v>
      </c>
      <c r="K38" s="158">
        <f>K8+K11+K18+K21+K24</f>
        <v>36539.999999999993</v>
      </c>
      <c r="L38" s="72"/>
      <c r="M38" s="72"/>
      <c r="N38" s="72"/>
      <c r="O38" s="82" t="s">
        <v>150</v>
      </c>
      <c r="P38" s="83"/>
      <c r="Q38" s="166">
        <f>K39</f>
        <v>73530</v>
      </c>
    </row>
    <row r="39" spans="1:18" ht="27" thickBot="1" x14ac:dyDescent="0.4">
      <c r="A39" s="72"/>
      <c r="B39" s="72"/>
      <c r="C39" s="148" t="s">
        <v>168</v>
      </c>
      <c r="D39" s="148" t="s">
        <v>177</v>
      </c>
      <c r="E39" s="148"/>
      <c r="F39" s="148"/>
      <c r="G39" s="72"/>
      <c r="H39" s="72"/>
      <c r="I39" s="161" t="s">
        <v>176</v>
      </c>
      <c r="J39" s="161"/>
      <c r="K39" s="162">
        <f>SUM(K37:K38)</f>
        <v>73530</v>
      </c>
      <c r="N39" s="72"/>
      <c r="O39" s="82"/>
      <c r="P39" s="83"/>
      <c r="Q39" s="166"/>
    </row>
    <row r="40" spans="1:18" ht="15" thickBot="1" x14ac:dyDescent="0.4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82" t="s">
        <v>51</v>
      </c>
      <c r="P40" s="83"/>
      <c r="Q40" s="166"/>
    </row>
    <row r="41" spans="1:18" ht="15" thickBot="1" x14ac:dyDescent="0.4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82" t="s">
        <v>52</v>
      </c>
      <c r="P41" s="83"/>
      <c r="Q41" s="166"/>
    </row>
    <row r="42" spans="1:18" ht="15" thickBot="1" x14ac:dyDescent="0.4">
      <c r="A42" s="72"/>
      <c r="B42" s="72"/>
      <c r="C42" s="72"/>
      <c r="D42" s="72"/>
      <c r="E42" s="72"/>
      <c r="F42" s="72"/>
      <c r="G42" s="72"/>
      <c r="H42" s="72"/>
      <c r="J42" s="72"/>
      <c r="K42" s="72"/>
      <c r="L42" s="72"/>
      <c r="M42" s="72"/>
      <c r="N42" s="72"/>
      <c r="O42" s="82" t="s">
        <v>53</v>
      </c>
      <c r="P42" s="83"/>
      <c r="Q42" s="166"/>
    </row>
    <row r="43" spans="1:18" x14ac:dyDescent="0.3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84" t="s">
        <v>54</v>
      </c>
      <c r="P43" s="85"/>
      <c r="Q43" s="167">
        <f>SUM(Q34:Q42)</f>
        <v>105977.26667691754</v>
      </c>
    </row>
    <row r="44" spans="1:18" x14ac:dyDescent="0.3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84" t="s">
        <v>55</v>
      </c>
      <c r="P44" s="85"/>
      <c r="Q44" s="167">
        <f>Q43*1.2</f>
        <v>127172.72001230104</v>
      </c>
    </row>
    <row r="45" spans="1:18" x14ac:dyDescent="0.3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7" spans="1:18" x14ac:dyDescent="0.35">
      <c r="O47" s="89"/>
      <c r="P47" s="89" t="s">
        <v>18</v>
      </c>
      <c r="Q47" s="89" t="s">
        <v>63</v>
      </c>
    </row>
    <row r="48" spans="1:18" x14ac:dyDescent="0.35">
      <c r="E48" s="99"/>
      <c r="F48" s="99"/>
      <c r="G48" s="99"/>
      <c r="H48" s="99"/>
      <c r="I48" s="99"/>
      <c r="J48" s="99"/>
      <c r="K48" s="99"/>
      <c r="O48" s="89" t="s">
        <v>64</v>
      </c>
      <c r="P48" s="89">
        <f>SUM(L31:P31)</f>
        <v>470</v>
      </c>
      <c r="Q48" s="90">
        <f>SUM(L33:P33)</f>
        <v>19107.266676917541</v>
      </c>
    </row>
    <row r="49" spans="3:17" x14ac:dyDescent="0.35">
      <c r="C49" s="95"/>
      <c r="D49" s="95"/>
      <c r="E49" s="86"/>
      <c r="F49" s="86"/>
      <c r="G49" s="86"/>
      <c r="H49" s="86"/>
      <c r="I49" s="86"/>
      <c r="J49" s="86"/>
      <c r="K49" s="86"/>
      <c r="O49" s="89" t="s">
        <v>65</v>
      </c>
      <c r="P49" s="89"/>
      <c r="Q49" s="90">
        <f>SUM(J33:K33)</f>
        <v>73530</v>
      </c>
    </row>
    <row r="50" spans="3:17" x14ac:dyDescent="0.35">
      <c r="C50" s="96"/>
      <c r="D50" s="96"/>
      <c r="O50" s="89" t="s">
        <v>66</v>
      </c>
      <c r="P50" s="89"/>
      <c r="Q50" s="90">
        <v>2000</v>
      </c>
    </row>
    <row r="51" spans="3:17" x14ac:dyDescent="0.35">
      <c r="C51" s="96"/>
      <c r="D51" s="96"/>
      <c r="O51" s="160" t="s">
        <v>181</v>
      </c>
      <c r="P51" s="89"/>
      <c r="Q51" s="90">
        <f>Q36</f>
        <v>11340</v>
      </c>
    </row>
    <row r="52" spans="3:17" x14ac:dyDescent="0.35">
      <c r="C52" s="87"/>
      <c r="D52" s="87"/>
      <c r="E52" s="87"/>
      <c r="F52" s="87"/>
      <c r="G52" s="87"/>
      <c r="H52" s="87"/>
      <c r="I52" s="87"/>
      <c r="J52" s="87"/>
      <c r="K52" s="87"/>
      <c r="O52" s="89" t="s">
        <v>67</v>
      </c>
      <c r="P52" s="89"/>
      <c r="Q52" s="90">
        <f>SUM(Q48:Q51)</f>
        <v>105977.26667691754</v>
      </c>
    </row>
    <row r="53" spans="3:17" x14ac:dyDescent="0.35">
      <c r="C53" s="98"/>
      <c r="D53" s="98"/>
      <c r="E53" s="87"/>
      <c r="F53" s="87"/>
      <c r="G53" s="87"/>
      <c r="H53" s="87"/>
      <c r="I53" s="87"/>
      <c r="J53" s="87"/>
      <c r="K53" s="87"/>
      <c r="Q53" s="97"/>
    </row>
    <row r="55" spans="3:17" x14ac:dyDescent="0.35">
      <c r="C55" s="87"/>
      <c r="D55" s="87"/>
      <c r="E55" s="87"/>
      <c r="F55" s="87"/>
      <c r="G55" s="87"/>
      <c r="H55" s="87"/>
      <c r="I55" s="87"/>
      <c r="J55" s="87"/>
      <c r="K55" s="87"/>
    </row>
    <row r="57" spans="3:17" x14ac:dyDescent="0.35">
      <c r="C57" s="87"/>
      <c r="D57" s="87"/>
      <c r="E57" s="87"/>
      <c r="F57" s="87"/>
      <c r="G57" s="87"/>
      <c r="H57" s="87"/>
      <c r="I57" s="87"/>
      <c r="J57" s="87"/>
      <c r="K57" s="87"/>
    </row>
    <row r="58" spans="3:17" x14ac:dyDescent="0.35">
      <c r="C58" s="96"/>
      <c r="D58" s="96"/>
      <c r="L58" s="87"/>
    </row>
    <row r="59" spans="3:17" x14ac:dyDescent="0.35">
      <c r="C59" s="96"/>
      <c r="D59" s="96"/>
      <c r="L59" s="87"/>
    </row>
    <row r="60" spans="3:17" x14ac:dyDescent="0.35">
      <c r="C60" s="96"/>
      <c r="D60" s="96"/>
      <c r="L60" s="87"/>
    </row>
    <row r="61" spans="3:17" x14ac:dyDescent="0.35">
      <c r="C61" s="96"/>
      <c r="D61" s="96"/>
      <c r="L61" s="87"/>
    </row>
    <row r="62" spans="3:17" x14ac:dyDescent="0.35">
      <c r="C62" s="96"/>
      <c r="D62" s="96"/>
      <c r="L62" s="87"/>
    </row>
    <row r="63" spans="3:17" x14ac:dyDescent="0.35">
      <c r="L63" s="87"/>
    </row>
    <row r="64" spans="3:17" x14ac:dyDescent="0.35">
      <c r="C64" s="87"/>
      <c r="D64" s="87"/>
      <c r="E64" s="87"/>
      <c r="F64" s="87"/>
      <c r="G64" s="87"/>
      <c r="H64" s="87"/>
      <c r="I64" s="87"/>
      <c r="J64" s="87"/>
      <c r="K64" s="87"/>
      <c r="L64" s="87"/>
    </row>
    <row r="65" spans="1:12" x14ac:dyDescent="0.35">
      <c r="C65" s="96"/>
      <c r="D65" s="96"/>
      <c r="L65" s="87"/>
    </row>
    <row r="66" spans="1:12" x14ac:dyDescent="0.35">
      <c r="C66" s="96"/>
      <c r="D66" s="96"/>
      <c r="L66" s="87"/>
    </row>
    <row r="67" spans="1:12" x14ac:dyDescent="0.35">
      <c r="C67" s="96"/>
      <c r="D67" s="96"/>
      <c r="L67" s="87"/>
    </row>
    <row r="68" spans="1:12" x14ac:dyDescent="0.35">
      <c r="C68" s="96"/>
      <c r="D68" s="96"/>
      <c r="L68" s="87"/>
    </row>
    <row r="69" spans="1:12" x14ac:dyDescent="0.35">
      <c r="C69" s="96"/>
      <c r="D69" s="96"/>
      <c r="L69" s="87"/>
    </row>
    <row r="71" spans="1:12" x14ac:dyDescent="0.35">
      <c r="A71" s="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5642-DDD4-4339-986A-592F56A764DF}">
  <dimension ref="A1:Z1001"/>
  <sheetViews>
    <sheetView showGridLines="0" tabSelected="1" topLeftCell="A4" zoomScaleNormal="100" workbookViewId="0">
      <selection activeCell="G42" sqref="G42"/>
    </sheetView>
  </sheetViews>
  <sheetFormatPr baseColWidth="10" defaultColWidth="14.453125" defaultRowHeight="15" customHeight="1" x14ac:dyDescent="0.35"/>
  <cols>
    <col min="1" max="1" width="37.6328125" bestFit="1" customWidth="1"/>
    <col min="2" max="2" width="24.54296875" customWidth="1"/>
    <col min="3" max="3" width="20.90625" customWidth="1"/>
    <col min="4" max="4" width="17.08984375" customWidth="1"/>
    <col min="5" max="5" width="17.453125" customWidth="1"/>
    <col min="6" max="6" width="14.54296875" customWidth="1"/>
    <col min="7" max="7" width="13.54296875" customWidth="1"/>
    <col min="8" max="8" width="14.08984375" customWidth="1"/>
    <col min="9" max="9" width="13" customWidth="1"/>
    <col min="10" max="10" width="15.90625" customWidth="1"/>
    <col min="11" max="11" width="12.08984375" bestFit="1" customWidth="1"/>
    <col min="12" max="26" width="11.453125" customWidth="1"/>
  </cols>
  <sheetData>
    <row r="1" spans="1:26" thickBot="1" x14ac:dyDescent="0.4">
      <c r="A1" s="1" t="s">
        <v>0</v>
      </c>
      <c r="B1" s="2" t="s">
        <v>1</v>
      </c>
      <c r="C1" s="3"/>
      <c r="D1" s="1" t="s">
        <v>2</v>
      </c>
      <c r="E1" s="4">
        <v>45839</v>
      </c>
      <c r="F1" s="3"/>
      <c r="G1" s="1" t="s">
        <v>3</v>
      </c>
      <c r="H1" s="59">
        <v>165289.26</v>
      </c>
      <c r="I1" s="62"/>
      <c r="J1" s="3"/>
      <c r="K1" s="99"/>
      <c r="L1" s="9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thickBot="1" x14ac:dyDescent="0.4">
      <c r="A2" s="1"/>
      <c r="B2" s="5"/>
      <c r="C2" s="3"/>
      <c r="D2" s="1" t="s">
        <v>4</v>
      </c>
      <c r="E2" s="4">
        <v>46204</v>
      </c>
      <c r="F2" s="3"/>
      <c r="G2" s="1" t="s">
        <v>5</v>
      </c>
      <c r="H2" s="4">
        <v>47483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thickBot="1" x14ac:dyDescent="0.4">
      <c r="A3" s="1" t="s">
        <v>6</v>
      </c>
      <c r="B3" s="6"/>
      <c r="C3" s="7"/>
      <c r="D3" s="7"/>
      <c r="E3" s="7"/>
      <c r="F3" s="8"/>
      <c r="G3" s="92"/>
      <c r="H3" s="93"/>
      <c r="I3" s="92"/>
      <c r="J3" s="7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5" x14ac:dyDescent="0.35">
      <c r="A4" s="1"/>
      <c r="B4" s="3"/>
      <c r="C4" s="3"/>
      <c r="D4" s="3"/>
      <c r="E4" s="3"/>
      <c r="F4" s="3"/>
      <c r="G4" s="3"/>
      <c r="H4" s="6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5" x14ac:dyDescent="0.35">
      <c r="A5" s="1" t="s">
        <v>7</v>
      </c>
      <c r="B5" s="130"/>
      <c r="C5" s="131"/>
      <c r="D5" s="131"/>
      <c r="E5" s="131"/>
      <c r="F5" s="13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5" x14ac:dyDescent="0.3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thickBot="1" x14ac:dyDescent="0.4">
      <c r="A7" s="9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5" x14ac:dyDescent="0.35">
      <c r="A8" s="10" t="s">
        <v>9</v>
      </c>
      <c r="B8" s="60" t="s">
        <v>41</v>
      </c>
      <c r="C8" s="60" t="s">
        <v>42</v>
      </c>
      <c r="D8" s="60" t="s">
        <v>40</v>
      </c>
      <c r="E8" s="60" t="s">
        <v>43</v>
      </c>
      <c r="F8" s="11"/>
      <c r="G8" s="11"/>
      <c r="H8" s="1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thickBot="1" x14ac:dyDescent="0.4">
      <c r="A9" s="13" t="s">
        <v>10</v>
      </c>
      <c r="B9" s="61"/>
      <c r="C9" s="61"/>
      <c r="D9" s="61"/>
      <c r="E9" s="61"/>
      <c r="F9" s="14"/>
      <c r="G9" s="14"/>
      <c r="H9" s="15">
        <v>137190.09</v>
      </c>
      <c r="I9" s="16">
        <f>SUM(B9:H9)</f>
        <v>137190.09</v>
      </c>
      <c r="J9" s="132">
        <f>(H1-I9)/H1</f>
        <v>0.16999997459000066</v>
      </c>
      <c r="K9" s="1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0.5" customHeight="1" x14ac:dyDescent="0.35">
      <c r="A10" s="3"/>
      <c r="B10" s="1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5" x14ac:dyDescent="0.35">
      <c r="A11" s="9" t="s">
        <v>11</v>
      </c>
      <c r="B11" s="3"/>
      <c r="C11" s="3"/>
      <c r="D11" s="3"/>
      <c r="E11" s="3"/>
      <c r="F11" s="3"/>
      <c r="G11" s="3"/>
      <c r="H11" s="1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thickBot="1" x14ac:dyDescent="0.4">
      <c r="A12" s="20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5" x14ac:dyDescent="0.35">
      <c r="A13" s="21" t="s">
        <v>13</v>
      </c>
      <c r="B13" s="22" t="s">
        <v>14</v>
      </c>
      <c r="C13" s="22" t="s">
        <v>15</v>
      </c>
      <c r="D13" s="23" t="s">
        <v>16</v>
      </c>
      <c r="E13" s="23" t="s">
        <v>17</v>
      </c>
      <c r="F13" s="23" t="s">
        <v>18</v>
      </c>
      <c r="G13" s="23" t="s">
        <v>19</v>
      </c>
      <c r="H13" s="23" t="s">
        <v>20</v>
      </c>
      <c r="I13" s="23" t="s">
        <v>21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5" x14ac:dyDescent="0.35">
      <c r="A14" s="24" t="s">
        <v>75</v>
      </c>
      <c r="B14" s="25">
        <f>SBA!D24</f>
        <v>53040</v>
      </c>
      <c r="C14" s="26">
        <f>IF(B14&gt;=53946,17208.77,B14*0.319)</f>
        <v>16919.760000000002</v>
      </c>
      <c r="D14" s="27">
        <f>B14+C14</f>
        <v>69959.760000000009</v>
      </c>
      <c r="E14" s="27">
        <f>D14/1756+4.7*1.04</f>
        <v>44.728410022779045</v>
      </c>
      <c r="F14" s="66">
        <f>'BBM - NNTTs'!L31</f>
        <v>222</v>
      </c>
      <c r="G14" s="27">
        <f t="shared" ref="G14:G19" si="0">E14*F14</f>
        <v>9929.7070250569486</v>
      </c>
      <c r="H14" s="25"/>
      <c r="I14" s="27">
        <f t="shared" ref="I14:I19" si="1">G14+H14</f>
        <v>9929.7070250569486</v>
      </c>
      <c r="J14" s="2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5" x14ac:dyDescent="0.35">
      <c r="A15" s="24" t="s">
        <v>74</v>
      </c>
      <c r="B15" s="25">
        <f>SBA!D21</f>
        <v>42759.450599999996</v>
      </c>
      <c r="C15" s="26">
        <f t="shared" ref="C15:C19" si="2">IF(B15&gt;=53946,17208.77,B15*0.319)</f>
        <v>13640.264741399998</v>
      </c>
      <c r="D15" s="27">
        <f t="shared" ref="D15:D19" si="3">B15+C15</f>
        <v>56399.715341399991</v>
      </c>
      <c r="E15" s="27">
        <f t="shared" ref="E15:E19" si="4">D15/1756+4.7*1.04</f>
        <v>37.006288918792706</v>
      </c>
      <c r="F15" s="66">
        <f>'BBM - NNTTs'!M31</f>
        <v>248</v>
      </c>
      <c r="G15" s="27">
        <f t="shared" si="0"/>
        <v>9177.5596518605907</v>
      </c>
      <c r="H15" s="25"/>
      <c r="I15" s="27">
        <f t="shared" si="1"/>
        <v>9177.5596518605907</v>
      </c>
      <c r="J15" s="2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5" x14ac:dyDescent="0.35">
      <c r="A16" s="24" t="s">
        <v>132</v>
      </c>
      <c r="B16" s="25">
        <f>SBA!D14</f>
        <v>32069.565000000002</v>
      </c>
      <c r="C16" s="26">
        <f t="shared" si="2"/>
        <v>10230.191235</v>
      </c>
      <c r="D16" s="27">
        <f t="shared" si="3"/>
        <v>42299.756235000001</v>
      </c>
      <c r="E16" s="124">
        <f t="shared" si="4"/>
        <v>28.976699450455584</v>
      </c>
      <c r="F16" s="126">
        <f>'BBM - NNTTs'!N31+'BBM - NNTTs'!P31</f>
        <v>0</v>
      </c>
      <c r="G16" s="125">
        <f t="shared" si="0"/>
        <v>0</v>
      </c>
      <c r="H16" s="25"/>
      <c r="I16" s="102">
        <f t="shared" si="1"/>
        <v>0</v>
      </c>
      <c r="J16" s="2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5" x14ac:dyDescent="0.35">
      <c r="A17" s="120"/>
      <c r="B17" s="121"/>
      <c r="C17" s="119">
        <f t="shared" si="2"/>
        <v>0</v>
      </c>
      <c r="D17" s="27">
        <f t="shared" si="3"/>
        <v>0</v>
      </c>
      <c r="E17" s="124">
        <f t="shared" si="4"/>
        <v>4.8880000000000008</v>
      </c>
      <c r="F17" s="126"/>
      <c r="G17" s="125">
        <f t="shared" si="0"/>
        <v>0</v>
      </c>
      <c r="H17" s="109"/>
      <c r="I17" s="102">
        <f t="shared" si="1"/>
        <v>0</v>
      </c>
      <c r="J17" s="2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5" x14ac:dyDescent="0.35">
      <c r="A18" s="122"/>
      <c r="B18" s="123"/>
      <c r="C18" s="119">
        <f t="shared" si="2"/>
        <v>0</v>
      </c>
      <c r="D18" s="27">
        <f t="shared" si="3"/>
        <v>0</v>
      </c>
      <c r="E18" s="124">
        <f t="shared" si="4"/>
        <v>4.8880000000000008</v>
      </c>
      <c r="F18" s="126"/>
      <c r="G18" s="125">
        <f t="shared" si="0"/>
        <v>0</v>
      </c>
      <c r="H18" s="109"/>
      <c r="I18" s="102">
        <f t="shared" si="1"/>
        <v>0</v>
      </c>
      <c r="J18" s="2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5" x14ac:dyDescent="0.35">
      <c r="A19" s="122"/>
      <c r="B19" s="123"/>
      <c r="C19" s="119">
        <f t="shared" si="2"/>
        <v>0</v>
      </c>
      <c r="D19" s="27">
        <f t="shared" si="3"/>
        <v>0</v>
      </c>
      <c r="E19" s="124">
        <f t="shared" si="4"/>
        <v>4.8880000000000008</v>
      </c>
      <c r="F19" s="126"/>
      <c r="G19" s="125">
        <f t="shared" si="0"/>
        <v>0</v>
      </c>
      <c r="H19" s="109"/>
      <c r="I19" s="102">
        <f t="shared" si="1"/>
        <v>0</v>
      </c>
      <c r="J19" s="2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3"/>
      <c r="B20" s="18"/>
      <c r="C20" s="29"/>
      <c r="D20" s="18"/>
      <c r="E20" s="65"/>
      <c r="F20" s="67">
        <f>SUM(F14:F17)</f>
        <v>470</v>
      </c>
      <c r="G20" s="18"/>
      <c r="H20" s="65">
        <f>SUM(H14:H16)</f>
        <v>0</v>
      </c>
      <c r="I20" s="103">
        <f>SUM(I14:I16)</f>
        <v>19107.266676917541</v>
      </c>
      <c r="J20" s="2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4">
      <c r="A21" s="20" t="s">
        <v>22</v>
      </c>
      <c r="B21" s="3"/>
      <c r="C21" s="3"/>
      <c r="D21" s="3"/>
      <c r="E21" s="3"/>
      <c r="F21" s="30"/>
      <c r="G21" s="3"/>
      <c r="H21" s="3"/>
      <c r="I21" s="3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1" t="s">
        <v>23</v>
      </c>
      <c r="B22" s="23" t="s">
        <v>24</v>
      </c>
      <c r="C22" s="23" t="s">
        <v>10</v>
      </c>
      <c r="D22" s="32" t="s">
        <v>25</v>
      </c>
      <c r="E22" s="3"/>
      <c r="F22" s="57"/>
      <c r="G22" s="3"/>
      <c r="H22" s="3"/>
      <c r="I22" s="3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4">
      <c r="A23" s="33" t="s">
        <v>151</v>
      </c>
      <c r="B23" s="34"/>
      <c r="C23" s="35">
        <f>'BBM - NNTTs'!K39</f>
        <v>73530</v>
      </c>
      <c r="D23" s="36"/>
      <c r="E23" s="68"/>
      <c r="F23" s="6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4">
      <c r="A24" s="33" t="s">
        <v>170</v>
      </c>
      <c r="B24" s="33"/>
      <c r="C24" s="35">
        <f>'BBM - NNTTs'!Q36</f>
        <v>11340</v>
      </c>
      <c r="D24" s="36"/>
      <c r="E24" s="68"/>
      <c r="F24" s="9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thickBot="1" x14ac:dyDescent="0.4">
      <c r="A25" s="33" t="s">
        <v>171</v>
      </c>
      <c r="B25" s="34"/>
      <c r="C25" s="35">
        <f>'BBM - NNTTs'!Q35</f>
        <v>0</v>
      </c>
      <c r="D25" s="36"/>
      <c r="E25" s="3"/>
      <c r="F25" s="3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thickBot="1" x14ac:dyDescent="0.4">
      <c r="A26" s="33" t="s">
        <v>73</v>
      </c>
      <c r="B26" s="34"/>
      <c r="C26" s="35">
        <f>'BBM - NNTTs'!Q37</f>
        <v>2000</v>
      </c>
      <c r="D26" s="36"/>
      <c r="E26" s="3"/>
      <c r="F26" s="3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thickBot="1" x14ac:dyDescent="0.4">
      <c r="A27" s="33"/>
      <c r="B27" s="34"/>
      <c r="C27" s="35"/>
      <c r="D27" s="36"/>
      <c r="E27" s="3"/>
      <c r="F27" s="3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thickBot="1" x14ac:dyDescent="0.4">
      <c r="A28" s="3"/>
      <c r="B28" s="3"/>
      <c r="C28" s="71">
        <f>SUM(C23:C27)</f>
        <v>86870</v>
      </c>
      <c r="D28" s="3"/>
      <c r="E28" s="3"/>
      <c r="F28" s="3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thickBot="1" x14ac:dyDescent="0.4">
      <c r="A29" s="3"/>
      <c r="B29" s="3"/>
      <c r="C29" s="3"/>
      <c r="D29" s="3"/>
      <c r="E29" s="37" t="s">
        <v>26</v>
      </c>
      <c r="F29" s="38">
        <f>I20+C28</f>
        <v>105977.26667691754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thickBot="1" x14ac:dyDescent="0.4">
      <c r="A30" s="9" t="s">
        <v>27</v>
      </c>
      <c r="B30" s="1"/>
      <c r="C30" s="1"/>
      <c r="D30" s="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39" t="s">
        <v>28</v>
      </c>
      <c r="B31" s="40">
        <f>D31+F20*4.7</f>
        <v>33421.823323082455</v>
      </c>
      <c r="C31" s="41" t="s">
        <v>29</v>
      </c>
      <c r="D31" s="42">
        <f>I9-F29</f>
        <v>31212.823323082455</v>
      </c>
      <c r="E31" s="3"/>
      <c r="F31" s="4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thickBot="1" x14ac:dyDescent="0.4">
      <c r="A32" s="44" t="s">
        <v>30</v>
      </c>
      <c r="B32" s="45">
        <f>B31/I9</f>
        <v>0.24361689188397251</v>
      </c>
      <c r="C32" s="46" t="s">
        <v>31</v>
      </c>
      <c r="D32" s="47">
        <f>D31/I9</f>
        <v>0.22751514575930706</v>
      </c>
      <c r="E32" s="48" t="s">
        <v>32</v>
      </c>
      <c r="F32" s="49">
        <f>(I9-C28-H20-H28)/F20</f>
        <v>107.06402127659574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50" t="s">
        <v>33</v>
      </c>
      <c r="D34" s="51" t="s">
        <v>34</v>
      </c>
      <c r="E34" s="52" t="s">
        <v>35</v>
      </c>
      <c r="F34" s="5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54" t="s">
        <v>36</v>
      </c>
      <c r="D35" s="127" t="s">
        <v>37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55" t="s">
        <v>38</v>
      </c>
      <c r="D36" s="128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56" t="s">
        <v>39</v>
      </c>
      <c r="D37" s="12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5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45">
      <c r="A41" s="3"/>
      <c r="B41" s="63"/>
      <c r="C41" s="6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5">
      <c r="A1001" s="3"/>
      <c r="B1001" s="3"/>
      <c r="C1001" s="3"/>
      <c r="D1001" s="3"/>
      <c r="E1001" s="3"/>
      <c r="F1001" s="3"/>
      <c r="G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">
    <mergeCell ref="D35:D37"/>
    <mergeCell ref="B5:F5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5610-AAFA-4668-87E1-44AE8B7F260F}">
  <dimension ref="A1:D26"/>
  <sheetViews>
    <sheetView workbookViewId="0">
      <selection activeCell="D24" sqref="D24"/>
    </sheetView>
  </sheetViews>
  <sheetFormatPr baseColWidth="10" defaultRowHeight="14.5" x14ac:dyDescent="0.35"/>
  <cols>
    <col min="1" max="1" width="38" customWidth="1"/>
    <col min="2" max="2" width="14.08984375" bestFit="1" customWidth="1"/>
    <col min="3" max="3" width="17.453125" customWidth="1"/>
  </cols>
  <sheetData>
    <row r="1" spans="1:4" x14ac:dyDescent="0.35">
      <c r="C1">
        <v>2024</v>
      </c>
      <c r="D1" s="106">
        <v>2025</v>
      </c>
    </row>
    <row r="2" spans="1:4" x14ac:dyDescent="0.35">
      <c r="A2" s="104" t="s">
        <v>45</v>
      </c>
      <c r="B2" s="104" t="s">
        <v>76</v>
      </c>
      <c r="C2" s="105">
        <v>15876</v>
      </c>
      <c r="D2">
        <f>C2*1.02</f>
        <v>16193.52</v>
      </c>
    </row>
    <row r="3" spans="1:4" x14ac:dyDescent="0.35">
      <c r="A3" s="104" t="s">
        <v>45</v>
      </c>
      <c r="B3" s="104" t="s">
        <v>77</v>
      </c>
      <c r="C3" s="105">
        <v>16000</v>
      </c>
      <c r="D3">
        <f t="shared" ref="D3:D26" si="0">C3*1.02</f>
        <v>16320</v>
      </c>
    </row>
    <row r="4" spans="1:4" x14ac:dyDescent="0.35">
      <c r="A4" s="104" t="s">
        <v>45</v>
      </c>
      <c r="B4" s="104" t="s">
        <v>78</v>
      </c>
      <c r="C4" s="105">
        <v>17606.82</v>
      </c>
      <c r="D4">
        <f t="shared" si="0"/>
        <v>17958.956399999999</v>
      </c>
    </row>
    <row r="6" spans="1:4" x14ac:dyDescent="0.35">
      <c r="A6" s="104" t="s">
        <v>79</v>
      </c>
      <c r="B6" s="104" t="s">
        <v>80</v>
      </c>
      <c r="C6" s="105">
        <v>20122.11</v>
      </c>
      <c r="D6">
        <f t="shared" si="0"/>
        <v>20524.552200000002</v>
      </c>
    </row>
    <row r="7" spans="1:4" x14ac:dyDescent="0.35">
      <c r="A7" s="104" t="s">
        <v>79</v>
      </c>
      <c r="B7" s="104" t="s">
        <v>76</v>
      </c>
      <c r="C7" s="105">
        <v>21798.92</v>
      </c>
      <c r="D7">
        <f t="shared" si="0"/>
        <v>22234.898399999998</v>
      </c>
    </row>
    <row r="8" spans="1:4" x14ac:dyDescent="0.35">
      <c r="A8" s="104" t="s">
        <v>79</v>
      </c>
      <c r="B8" s="104" t="s">
        <v>77</v>
      </c>
      <c r="C8" s="105">
        <v>23475.75</v>
      </c>
      <c r="D8">
        <f t="shared" si="0"/>
        <v>23945.264999999999</v>
      </c>
    </row>
    <row r="9" spans="1:4" x14ac:dyDescent="0.35">
      <c r="A9" s="107" t="s">
        <v>79</v>
      </c>
      <c r="B9" s="107" t="s">
        <v>78</v>
      </c>
      <c r="C9" s="108">
        <v>25152.62</v>
      </c>
      <c r="D9">
        <f t="shared" si="0"/>
        <v>25655.672399999999</v>
      </c>
    </row>
    <row r="11" spans="1:4" x14ac:dyDescent="0.35">
      <c r="A11" s="104" t="s">
        <v>44</v>
      </c>
      <c r="B11" s="104" t="s">
        <v>81</v>
      </c>
      <c r="C11" s="105">
        <v>25152.61</v>
      </c>
      <c r="D11">
        <f t="shared" si="0"/>
        <v>25655.662200000002</v>
      </c>
    </row>
    <row r="12" spans="1:4" x14ac:dyDescent="0.35">
      <c r="A12" s="104" t="s">
        <v>44</v>
      </c>
      <c r="B12" s="104" t="s">
        <v>82</v>
      </c>
      <c r="C12" s="105">
        <v>27248.69</v>
      </c>
      <c r="D12">
        <f t="shared" si="0"/>
        <v>27793.663799999998</v>
      </c>
    </row>
    <row r="13" spans="1:4" x14ac:dyDescent="0.35">
      <c r="A13" s="104" t="s">
        <v>44</v>
      </c>
      <c r="B13" s="104" t="s">
        <v>83</v>
      </c>
      <c r="C13" s="105">
        <v>29344.71</v>
      </c>
      <c r="D13">
        <f t="shared" si="0"/>
        <v>29931.604199999998</v>
      </c>
    </row>
    <row r="14" spans="1:4" x14ac:dyDescent="0.35">
      <c r="A14" s="104" t="s">
        <v>44</v>
      </c>
      <c r="B14" s="104" t="s">
        <v>84</v>
      </c>
      <c r="C14" s="105">
        <v>31440.75</v>
      </c>
      <c r="D14">
        <f t="shared" si="0"/>
        <v>32069.565000000002</v>
      </c>
    </row>
    <row r="15" spans="1:4" x14ac:dyDescent="0.35">
      <c r="A15" s="104" t="s">
        <v>44</v>
      </c>
      <c r="B15" s="104" t="s">
        <v>85</v>
      </c>
      <c r="C15" s="105">
        <v>33536.83</v>
      </c>
      <c r="D15">
        <f t="shared" si="0"/>
        <v>34207.566600000006</v>
      </c>
    </row>
    <row r="17" spans="1:4" x14ac:dyDescent="0.35">
      <c r="A17" s="104" t="s">
        <v>86</v>
      </c>
      <c r="B17" s="104" t="s">
        <v>87</v>
      </c>
      <c r="C17" s="105">
        <v>35213.67</v>
      </c>
      <c r="D17">
        <f t="shared" si="0"/>
        <v>35917.943399999996</v>
      </c>
    </row>
    <row r="18" spans="1:4" x14ac:dyDescent="0.35">
      <c r="A18" s="104" t="s">
        <v>86</v>
      </c>
      <c r="B18" s="104" t="s">
        <v>88</v>
      </c>
      <c r="C18" s="105">
        <v>37728.93</v>
      </c>
      <c r="D18">
        <f t="shared" si="0"/>
        <v>38483.508600000001</v>
      </c>
    </row>
    <row r="19" spans="1:4" x14ac:dyDescent="0.35">
      <c r="A19" s="104" t="s">
        <v>86</v>
      </c>
      <c r="B19" s="104" t="s">
        <v>89</v>
      </c>
      <c r="C19" s="105">
        <v>39824.980000000003</v>
      </c>
      <c r="D19">
        <f t="shared" si="0"/>
        <v>40621.479600000006</v>
      </c>
    </row>
    <row r="21" spans="1:4" x14ac:dyDescent="0.35">
      <c r="A21" s="104" t="s">
        <v>97</v>
      </c>
      <c r="B21" s="104" t="s">
        <v>91</v>
      </c>
      <c r="C21" s="105">
        <v>41921.03</v>
      </c>
      <c r="D21">
        <f>C21*1.02</f>
        <v>42759.450599999996</v>
      </c>
    </row>
    <row r="22" spans="1:4" x14ac:dyDescent="0.35">
      <c r="A22" s="104" t="s">
        <v>90</v>
      </c>
      <c r="B22" s="104" t="s">
        <v>92</v>
      </c>
      <c r="C22" s="105">
        <v>45107.06</v>
      </c>
      <c r="D22">
        <f t="shared" si="0"/>
        <v>46009.201199999996</v>
      </c>
    </row>
    <row r="23" spans="1:4" x14ac:dyDescent="0.35">
      <c r="A23" s="104" t="s">
        <v>90</v>
      </c>
      <c r="B23" s="104" t="s">
        <v>93</v>
      </c>
      <c r="C23" s="105">
        <v>47312.17</v>
      </c>
      <c r="D23">
        <f t="shared" si="0"/>
        <v>48258.413399999998</v>
      </c>
    </row>
    <row r="24" spans="1:4" x14ac:dyDescent="0.35">
      <c r="A24" s="104" t="s">
        <v>98</v>
      </c>
      <c r="B24" s="104" t="s">
        <v>96</v>
      </c>
      <c r="C24" s="105">
        <v>52000</v>
      </c>
      <c r="D24">
        <f t="shared" si="0"/>
        <v>53040</v>
      </c>
    </row>
    <row r="26" spans="1:4" x14ac:dyDescent="0.35">
      <c r="A26" s="104" t="s">
        <v>94</v>
      </c>
      <c r="B26" s="104" t="s">
        <v>95</v>
      </c>
      <c r="C26" s="105">
        <v>34445.800000000003</v>
      </c>
      <c r="D26">
        <f t="shared" si="0"/>
        <v>35134.716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8286-EB58-4A0E-9CDC-49C63D7D57D8}">
  <dimension ref="B1:O8"/>
  <sheetViews>
    <sheetView topLeftCell="B1" workbookViewId="0">
      <selection activeCell="O8" sqref="O8"/>
    </sheetView>
  </sheetViews>
  <sheetFormatPr baseColWidth="10" defaultRowHeight="14.5" x14ac:dyDescent="0.35"/>
  <cols>
    <col min="3" max="3" width="40.90625" customWidth="1"/>
    <col min="4" max="4" width="38.1796875" customWidth="1"/>
    <col min="5" max="5" width="62.08984375" customWidth="1"/>
    <col min="8" max="8" width="63.1796875" customWidth="1"/>
    <col min="10" max="10" width="21" customWidth="1"/>
  </cols>
  <sheetData>
    <row r="1" spans="2:15" ht="15" thickBot="1" x14ac:dyDescent="0.4"/>
    <row r="2" spans="2:15" ht="29.5" thickBot="1" x14ac:dyDescent="0.4">
      <c r="B2" s="110" t="s">
        <v>105</v>
      </c>
      <c r="C2" s="110" t="s">
        <v>106</v>
      </c>
      <c r="D2" s="110" t="s">
        <v>107</v>
      </c>
      <c r="E2" s="110" t="s">
        <v>108</v>
      </c>
      <c r="H2" s="89" t="s">
        <v>133</v>
      </c>
      <c r="I2" s="89" t="s">
        <v>110</v>
      </c>
      <c r="J2" s="115" t="s">
        <v>147</v>
      </c>
      <c r="K2" s="89" t="s">
        <v>134</v>
      </c>
      <c r="L2" s="89" t="s">
        <v>135</v>
      </c>
      <c r="M2" s="89" t="s">
        <v>136</v>
      </c>
      <c r="N2" s="89" t="s">
        <v>129</v>
      </c>
    </row>
    <row r="3" spans="2:15" ht="28.5" thickBot="1" x14ac:dyDescent="0.4">
      <c r="B3" s="111" t="s">
        <v>109</v>
      </c>
      <c r="C3" s="110" t="s">
        <v>110</v>
      </c>
      <c r="D3" s="111" t="s">
        <v>111</v>
      </c>
      <c r="E3" s="110" t="s">
        <v>112</v>
      </c>
      <c r="H3" s="89" t="s">
        <v>99</v>
      </c>
      <c r="I3" s="114">
        <v>200</v>
      </c>
      <c r="J3" s="114">
        <v>137</v>
      </c>
      <c r="K3" s="114">
        <v>40</v>
      </c>
      <c r="L3" s="114" t="s">
        <v>137</v>
      </c>
      <c r="M3" s="114">
        <v>133</v>
      </c>
      <c r="N3" s="114">
        <v>215</v>
      </c>
    </row>
    <row r="4" spans="2:15" ht="42.5" thickBot="1" x14ac:dyDescent="0.4">
      <c r="B4" s="111" t="s">
        <v>113</v>
      </c>
      <c r="C4" s="112" t="s">
        <v>139</v>
      </c>
      <c r="D4" s="113" t="s">
        <v>114</v>
      </c>
      <c r="E4" s="110" t="s">
        <v>115</v>
      </c>
      <c r="H4" s="89" t="s">
        <v>100</v>
      </c>
      <c r="I4" s="114">
        <v>60</v>
      </c>
      <c r="J4" s="114" t="s">
        <v>140</v>
      </c>
      <c r="K4" s="114">
        <v>12</v>
      </c>
      <c r="L4" s="114" t="s">
        <v>141</v>
      </c>
      <c r="M4" s="114" t="s">
        <v>142</v>
      </c>
      <c r="N4" s="114" t="s">
        <v>143</v>
      </c>
    </row>
    <row r="5" spans="2:15" ht="42.5" thickBot="1" x14ac:dyDescent="0.4">
      <c r="B5" s="111" t="s">
        <v>116</v>
      </c>
      <c r="C5" s="110" t="s">
        <v>117</v>
      </c>
      <c r="D5" s="111" t="s">
        <v>118</v>
      </c>
      <c r="E5" s="110" t="s">
        <v>119</v>
      </c>
      <c r="H5" s="89" t="s">
        <v>138</v>
      </c>
      <c r="I5" s="114">
        <v>80</v>
      </c>
      <c r="J5" s="114" t="s">
        <v>144</v>
      </c>
      <c r="K5" s="114">
        <v>16</v>
      </c>
      <c r="L5" s="114">
        <v>70</v>
      </c>
      <c r="M5" s="114" t="s">
        <v>145</v>
      </c>
      <c r="N5" s="114">
        <v>86</v>
      </c>
    </row>
    <row r="6" spans="2:15" ht="42.5" thickBot="1" x14ac:dyDescent="0.4">
      <c r="B6" s="111" t="s">
        <v>120</v>
      </c>
      <c r="C6" s="110" t="s">
        <v>121</v>
      </c>
      <c r="D6" s="111" t="s">
        <v>122</v>
      </c>
      <c r="E6" s="110" t="s">
        <v>123</v>
      </c>
      <c r="H6" s="89" t="s">
        <v>102</v>
      </c>
      <c r="I6" s="114">
        <v>60</v>
      </c>
      <c r="J6" s="114" t="s">
        <v>140</v>
      </c>
      <c r="K6" s="114">
        <v>12</v>
      </c>
      <c r="L6" s="114" t="s">
        <v>141</v>
      </c>
      <c r="M6" s="114" t="s">
        <v>142</v>
      </c>
      <c r="N6" s="114" t="s">
        <v>143</v>
      </c>
    </row>
    <row r="7" spans="2:15" ht="29" thickTop="1" thickBot="1" x14ac:dyDescent="0.4">
      <c r="B7" s="111" t="s">
        <v>124</v>
      </c>
      <c r="C7" s="110" t="s">
        <v>125</v>
      </c>
      <c r="D7" s="111" t="s">
        <v>126</v>
      </c>
      <c r="E7" s="110" t="s">
        <v>127</v>
      </c>
      <c r="H7" s="116" t="s">
        <v>146</v>
      </c>
      <c r="I7" s="116">
        <f>SUM(I3:I6)</f>
        <v>400</v>
      </c>
      <c r="J7" s="116">
        <f t="shared" ref="J7:N7" si="0">SUM(J3:J6)</f>
        <v>137</v>
      </c>
      <c r="K7" s="116">
        <f t="shared" si="0"/>
        <v>80</v>
      </c>
      <c r="L7" s="116">
        <f t="shared" si="0"/>
        <v>70</v>
      </c>
      <c r="M7" s="116">
        <f t="shared" si="0"/>
        <v>133</v>
      </c>
      <c r="N7" s="116">
        <f t="shared" si="0"/>
        <v>301</v>
      </c>
      <c r="O7" s="117">
        <f>SUM(I7:N7)</f>
        <v>1121</v>
      </c>
    </row>
    <row r="8" spans="2:15" ht="28.5" thickBot="1" x14ac:dyDescent="0.4">
      <c r="B8" s="111" t="s">
        <v>128</v>
      </c>
      <c r="C8" s="112" t="s">
        <v>129</v>
      </c>
      <c r="D8" s="113" t="s">
        <v>130</v>
      </c>
      <c r="E8" s="110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BBM - NNTTs</vt:lpstr>
      <vt:lpstr>Plantilla de Validacion </vt:lpstr>
      <vt:lpstr>SBA</vt:lpstr>
      <vt:lpstr>Perfiles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Fernandez</dc:creator>
  <cp:lastModifiedBy>Pako Navas Posada</cp:lastModifiedBy>
  <dcterms:created xsi:type="dcterms:W3CDTF">2023-08-30T08:26:30Z</dcterms:created>
  <dcterms:modified xsi:type="dcterms:W3CDTF">2025-06-18T18:21:50Z</dcterms:modified>
</cp:coreProperties>
</file>